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9.xml" ContentType="application/vnd.ms-excel.person+xml"/>
  <Override PartName="/xl/persons/person17.xml" ContentType="application/vnd.ms-excel.person+xml"/>
  <Override PartName="/xl/persons/person7.xml" ContentType="application/vnd.ms-excel.person+xml"/>
  <Override PartName="/xl/persons/person21.xml" ContentType="application/vnd.ms-excel.person+xml"/>
  <Override PartName="/xl/persons/person25.xml" ContentType="application/vnd.ms-excel.person+xml"/>
  <Override PartName="/xl/persons/person29.xml" ContentType="application/vnd.ms-excel.person+xml"/>
  <Override PartName="/xl/persons/person33.xml" ContentType="application/vnd.ms-excel.person+xml"/>
  <Override PartName="/xl/persons/person34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19.xml" ContentType="application/vnd.ms-excel.person+xml"/>
  <Override PartName="/xl/persons/person6.xml" ContentType="application/vnd.ms-excel.person+xml"/>
  <Override PartName="/xl/persons/person3.xml" ContentType="application/vnd.ms-excel.person+xml"/>
  <Override PartName="/xl/persons/person14.xml" ContentType="application/vnd.ms-excel.person+xml"/>
  <Override PartName="/xl/persons/person23.xml" ContentType="application/vnd.ms-excel.person+xml"/>
  <Override PartName="/xl/persons/person32.xml" ContentType="application/vnd.ms-excel.person+xml"/>
  <Override PartName="/xl/persons/person38.xml" ContentType="application/vnd.ms-excel.person+xml"/>
  <Override PartName="/xl/persons/person13.xml" ContentType="application/vnd.ms-excel.person+xml"/>
  <Override PartName="/xl/persons/person0.xml" ContentType="application/vnd.ms-excel.person+xml"/>
  <Override PartName="/xl/persons/person4.xml" ContentType="application/vnd.ms-excel.person+xml"/>
  <Override PartName="/xl/persons/person27.xml" ContentType="application/vnd.ms-excel.person+xml"/>
  <Override PartName="/xl/persons/person36.xml" ContentType="application/vnd.ms-excel.person+xml"/>
  <Override PartName="/xl/persons/person5.xml" ContentType="application/vnd.ms-excel.person+xml"/>
  <Override PartName="/xl/persons/person22.xml" ContentType="application/vnd.ms-excel.person+xml"/>
  <Override PartName="/xl/persons/person31.xml" ContentType="application/vnd.ms-excel.person+xml"/>
  <Override PartName="/xl/persons/person37.xml" ContentType="application/vnd.ms-excel.person+xml"/>
  <Override PartName="/xl/persons/person28.xml" ContentType="application/vnd.ms-excel.person+xml"/>
  <Override PartName="/xl/persons/person24.xml" ContentType="application/vnd.ms-excel.person+xml"/>
  <Override PartName="/xl/persons/person16.xml" ContentType="application/vnd.ms-excel.person+xml"/>
  <Override PartName="/xl/persons/person11.xml" ContentType="application/vnd.ms-excel.person+xml"/>
  <Override PartName="/xl/persons/person10.xml" ContentType="application/vnd.ms-excel.person+xml"/>
  <Override PartName="/xl/persons/person1.xml" ContentType="application/vnd.ms-excel.person+xml"/>
  <Override PartName="/xl/persons/person35.xml" ContentType="application/vnd.ms-excel.person+xml"/>
  <Override PartName="/xl/persons/person26.xml" ContentType="application/vnd.ms-excel.person+xml"/>
  <Override PartName="/xl/persons/person8.xml" ContentType="application/vnd.ms-excel.person+xml"/>
  <Override PartName="/xl/persons/person12.xml" ContentType="application/vnd.ms-excel.person+xml"/>
  <Override PartName="/xl/persons/person15.xml" ContentType="application/vnd.ms-excel.person+xml"/>
  <Override PartName="/xl/persons/person30.xml" ContentType="application/vnd.ms-excel.person+xml"/>
  <Override PartName="/xl/persons/person20.xml" ContentType="application/vnd.ms-excel.person+xml"/>
  <Override PartName="/xl/persons/person18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MESTER 8 (skripsi)\berkas archieve perpus\file yg diupload\"/>
    </mc:Choice>
  </mc:AlternateContent>
  <xr:revisionPtr revIDLastSave="0" documentId="13_ncr:1_{BE504D9A-FDDD-468D-95A1-D8E3A5C533CF}" xr6:coauthVersionLast="47" xr6:coauthVersionMax="47" xr10:uidLastSave="{00000000-0000-0000-0000-000000000000}"/>
  <bookViews>
    <workbookView xWindow="-110" yWindow="-110" windowWidth="19420" windowHeight="10300" tabRatio="1000" xr2:uid="{7F8629B1-CB1C-402D-810E-D66AAE862485}"/>
  </bookViews>
  <sheets>
    <sheet name="DA" sheetId="26" r:id="rId1"/>
    <sheet name="koefisien hasil regresi" sheetId="27" r:id="rId2"/>
    <sheet name="TRR" sheetId="2" r:id="rId3"/>
    <sheet name="ROA" sheetId="4" r:id="rId4"/>
    <sheet name="KI" sheetId="5" r:id="rId5"/>
    <sheet name="Size Ln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3" i="4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60" i="5"/>
  <c r="E162" i="5"/>
  <c r="G162" i="5" s="1"/>
  <c r="E161" i="5"/>
  <c r="G161" i="5" s="1"/>
  <c r="E160" i="5"/>
  <c r="E159" i="5"/>
  <c r="G159" i="5" s="1"/>
  <c r="D158" i="5"/>
  <c r="G158" i="5" s="1"/>
  <c r="D157" i="5"/>
  <c r="G157" i="5" s="1"/>
  <c r="D131" i="5"/>
  <c r="G131" i="5" s="1"/>
  <c r="D116" i="5"/>
  <c r="G116" i="5" s="1"/>
  <c r="D115" i="5"/>
  <c r="G115" i="5" s="1"/>
  <c r="D114" i="5"/>
  <c r="G114" i="5" s="1"/>
  <c r="D113" i="5"/>
  <c r="G113" i="5" s="1"/>
  <c r="D112" i="5"/>
  <c r="G112" i="5" s="1"/>
  <c r="D111" i="5"/>
  <c r="G111" i="5" s="1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M104" i="26"/>
  <c r="Q202" i="26"/>
  <c r="Q201" i="26"/>
  <c r="Q200" i="26"/>
  <c r="Q199" i="26"/>
  <c r="Q198" i="26"/>
  <c r="Q197" i="26"/>
  <c r="Q196" i="26"/>
  <c r="Q195" i="26"/>
  <c r="Q194" i="26"/>
  <c r="Q193" i="26"/>
  <c r="Q192" i="26"/>
  <c r="Q191" i="26"/>
  <c r="Q190" i="26"/>
  <c r="Q189" i="26"/>
  <c r="Q187" i="26"/>
  <c r="Q186" i="26"/>
  <c r="Q185" i="26"/>
  <c r="Q184" i="26"/>
  <c r="Q183" i="26"/>
  <c r="Q182" i="26"/>
  <c r="Q181" i="26"/>
  <c r="Q180" i="26"/>
  <c r="Q179" i="26"/>
  <c r="Q178" i="26"/>
  <c r="Q177" i="26"/>
  <c r="Q176" i="26"/>
  <c r="Q175" i="26"/>
  <c r="Q174" i="26"/>
  <c r="Q173" i="26"/>
  <c r="Q172" i="26"/>
  <c r="Q171" i="26"/>
  <c r="Q170" i="26"/>
  <c r="Q169" i="26"/>
  <c r="Q168" i="26"/>
  <c r="Q167" i="26"/>
  <c r="Q166" i="26"/>
  <c r="Q165" i="26"/>
  <c r="Q164" i="26"/>
  <c r="Q163" i="26"/>
  <c r="Q162" i="26"/>
  <c r="Q161" i="26"/>
  <c r="Q160" i="26"/>
  <c r="Q159" i="26"/>
  <c r="Q158" i="26"/>
  <c r="Q157" i="26"/>
  <c r="Q156" i="26"/>
  <c r="Q155" i="26"/>
  <c r="Q154" i="26"/>
  <c r="Q153" i="26"/>
  <c r="Q152" i="26"/>
  <c r="Q151" i="26"/>
  <c r="Q150" i="26"/>
  <c r="Q149" i="26"/>
  <c r="Q148" i="26"/>
  <c r="Q147" i="26"/>
  <c r="Q146" i="26"/>
  <c r="Q145" i="26"/>
  <c r="Q144" i="26"/>
  <c r="Q143" i="26"/>
  <c r="I187" i="26"/>
  <c r="I152" i="26"/>
  <c r="I202" i="26"/>
  <c r="M202" i="26"/>
  <c r="K202" i="26"/>
  <c r="F202" i="26"/>
  <c r="H202" i="26" s="1"/>
  <c r="M201" i="26"/>
  <c r="K201" i="26"/>
  <c r="I201" i="26"/>
  <c r="F201" i="26"/>
  <c r="H201" i="26" s="1"/>
  <c r="M200" i="26"/>
  <c r="K200" i="26"/>
  <c r="I200" i="26"/>
  <c r="F200" i="26"/>
  <c r="H200" i="26" s="1"/>
  <c r="M199" i="26"/>
  <c r="K199" i="26"/>
  <c r="I199" i="26"/>
  <c r="F199" i="26"/>
  <c r="H199" i="26" s="1"/>
  <c r="M197" i="26"/>
  <c r="K197" i="26"/>
  <c r="I197" i="26"/>
  <c r="F197" i="26"/>
  <c r="H197" i="26" s="1"/>
  <c r="M196" i="26"/>
  <c r="K196" i="26"/>
  <c r="I196" i="26"/>
  <c r="F196" i="26"/>
  <c r="H196" i="26" s="1"/>
  <c r="M195" i="26"/>
  <c r="K195" i="26"/>
  <c r="I195" i="26"/>
  <c r="F195" i="26"/>
  <c r="H195" i="26" s="1"/>
  <c r="M194" i="26"/>
  <c r="K194" i="26"/>
  <c r="I194" i="26"/>
  <c r="F194" i="26"/>
  <c r="H194" i="26" s="1"/>
  <c r="M192" i="26"/>
  <c r="K192" i="26"/>
  <c r="I192" i="26"/>
  <c r="F192" i="26"/>
  <c r="H192" i="26" s="1"/>
  <c r="M191" i="26"/>
  <c r="K191" i="26"/>
  <c r="I191" i="26"/>
  <c r="F191" i="26"/>
  <c r="H191" i="26" s="1"/>
  <c r="M190" i="26"/>
  <c r="K190" i="26"/>
  <c r="I190" i="26"/>
  <c r="F190" i="26"/>
  <c r="H190" i="26" s="1"/>
  <c r="M189" i="26"/>
  <c r="K189" i="26"/>
  <c r="I189" i="26"/>
  <c r="F189" i="26"/>
  <c r="H189" i="26" s="1"/>
  <c r="M187" i="26"/>
  <c r="K187" i="26"/>
  <c r="F187" i="26"/>
  <c r="H187" i="26" s="1"/>
  <c r="M186" i="26"/>
  <c r="K186" i="26"/>
  <c r="I186" i="26"/>
  <c r="F186" i="26"/>
  <c r="H186" i="26" s="1"/>
  <c r="M185" i="26"/>
  <c r="K185" i="26"/>
  <c r="I185" i="26"/>
  <c r="F185" i="26"/>
  <c r="H185" i="26" s="1"/>
  <c r="M184" i="26"/>
  <c r="K184" i="26"/>
  <c r="I184" i="26"/>
  <c r="F184" i="26"/>
  <c r="H184" i="26" s="1"/>
  <c r="M182" i="26"/>
  <c r="K182" i="26"/>
  <c r="I182" i="26"/>
  <c r="F182" i="26"/>
  <c r="H182" i="26" s="1"/>
  <c r="M181" i="26"/>
  <c r="K181" i="26"/>
  <c r="I181" i="26"/>
  <c r="F181" i="26"/>
  <c r="H181" i="26" s="1"/>
  <c r="M180" i="26"/>
  <c r="K180" i="26"/>
  <c r="I180" i="26"/>
  <c r="F180" i="26"/>
  <c r="H180" i="26" s="1"/>
  <c r="M179" i="26"/>
  <c r="K179" i="26"/>
  <c r="I179" i="26"/>
  <c r="F179" i="26"/>
  <c r="H179" i="26" s="1"/>
  <c r="M177" i="26"/>
  <c r="K177" i="26"/>
  <c r="I177" i="26"/>
  <c r="F177" i="26"/>
  <c r="H177" i="26" s="1"/>
  <c r="M176" i="26"/>
  <c r="K176" i="26"/>
  <c r="I176" i="26"/>
  <c r="F176" i="26"/>
  <c r="H176" i="26" s="1"/>
  <c r="M175" i="26"/>
  <c r="K175" i="26"/>
  <c r="I175" i="26"/>
  <c r="F175" i="26"/>
  <c r="H175" i="26" s="1"/>
  <c r="M174" i="26"/>
  <c r="K174" i="26"/>
  <c r="I174" i="26"/>
  <c r="F174" i="26"/>
  <c r="H174" i="26" s="1"/>
  <c r="M172" i="26"/>
  <c r="K172" i="26"/>
  <c r="I172" i="26"/>
  <c r="F172" i="26"/>
  <c r="H172" i="26" s="1"/>
  <c r="M171" i="26"/>
  <c r="K171" i="26"/>
  <c r="I171" i="26"/>
  <c r="F171" i="26"/>
  <c r="H171" i="26" s="1"/>
  <c r="M170" i="26"/>
  <c r="K170" i="26"/>
  <c r="I170" i="26"/>
  <c r="F170" i="26"/>
  <c r="H170" i="26" s="1"/>
  <c r="M169" i="26"/>
  <c r="K169" i="26"/>
  <c r="I169" i="26"/>
  <c r="F169" i="26"/>
  <c r="H169" i="26" s="1"/>
  <c r="M167" i="26"/>
  <c r="K167" i="26"/>
  <c r="I167" i="26"/>
  <c r="F167" i="26"/>
  <c r="H167" i="26" s="1"/>
  <c r="M166" i="26"/>
  <c r="K166" i="26"/>
  <c r="I166" i="26"/>
  <c r="F166" i="26"/>
  <c r="H166" i="26" s="1"/>
  <c r="M165" i="26"/>
  <c r="K165" i="26"/>
  <c r="I165" i="26"/>
  <c r="F165" i="26"/>
  <c r="H165" i="26" s="1"/>
  <c r="M164" i="26"/>
  <c r="K164" i="26"/>
  <c r="I164" i="26"/>
  <c r="F164" i="26"/>
  <c r="H164" i="26" s="1"/>
  <c r="M162" i="26"/>
  <c r="K162" i="26"/>
  <c r="I162" i="26"/>
  <c r="F162" i="26"/>
  <c r="H162" i="26" s="1"/>
  <c r="M161" i="26"/>
  <c r="K161" i="26"/>
  <c r="I161" i="26"/>
  <c r="F161" i="26"/>
  <c r="H161" i="26" s="1"/>
  <c r="M160" i="26"/>
  <c r="K160" i="26"/>
  <c r="I160" i="26"/>
  <c r="F160" i="26"/>
  <c r="H160" i="26" s="1"/>
  <c r="M159" i="26"/>
  <c r="K159" i="26"/>
  <c r="I159" i="26"/>
  <c r="F159" i="26"/>
  <c r="H159" i="26" s="1"/>
  <c r="M157" i="26"/>
  <c r="K157" i="26"/>
  <c r="I157" i="26"/>
  <c r="F157" i="26"/>
  <c r="H157" i="26" s="1"/>
  <c r="M156" i="26"/>
  <c r="K156" i="26"/>
  <c r="I156" i="26"/>
  <c r="F156" i="26"/>
  <c r="H156" i="26" s="1"/>
  <c r="M155" i="26"/>
  <c r="K155" i="26"/>
  <c r="I155" i="26"/>
  <c r="F155" i="26"/>
  <c r="H155" i="26" s="1"/>
  <c r="M154" i="26"/>
  <c r="K154" i="26"/>
  <c r="I154" i="26"/>
  <c r="F154" i="26"/>
  <c r="H154" i="26" s="1"/>
  <c r="M152" i="26"/>
  <c r="K152" i="26"/>
  <c r="F152" i="26"/>
  <c r="H152" i="26" s="1"/>
  <c r="M151" i="26"/>
  <c r="K151" i="26"/>
  <c r="I151" i="26"/>
  <c r="F151" i="26"/>
  <c r="H151" i="26" s="1"/>
  <c r="M150" i="26"/>
  <c r="K150" i="26"/>
  <c r="I150" i="26"/>
  <c r="F150" i="26"/>
  <c r="H150" i="26" s="1"/>
  <c r="M149" i="26"/>
  <c r="K149" i="26"/>
  <c r="I149" i="26"/>
  <c r="F149" i="26"/>
  <c r="H149" i="26" s="1"/>
  <c r="M147" i="26"/>
  <c r="K147" i="26"/>
  <c r="I147" i="26"/>
  <c r="F147" i="26"/>
  <c r="H147" i="26" s="1"/>
  <c r="M146" i="26"/>
  <c r="K146" i="26"/>
  <c r="I146" i="26"/>
  <c r="F146" i="26"/>
  <c r="H146" i="26" s="1"/>
  <c r="M145" i="26"/>
  <c r="K145" i="26"/>
  <c r="I145" i="26"/>
  <c r="F145" i="26"/>
  <c r="H145" i="26" s="1"/>
  <c r="M144" i="26"/>
  <c r="K144" i="26"/>
  <c r="I144" i="26"/>
  <c r="F144" i="26"/>
  <c r="H144" i="26" s="1"/>
  <c r="M142" i="26"/>
  <c r="K142" i="26"/>
  <c r="I142" i="26"/>
  <c r="F142" i="26"/>
  <c r="H142" i="26" s="1"/>
  <c r="M141" i="26"/>
  <c r="K141" i="26"/>
  <c r="I141" i="26"/>
  <c r="F141" i="26"/>
  <c r="H141" i="26" s="1"/>
  <c r="M140" i="26"/>
  <c r="K140" i="26"/>
  <c r="I140" i="26"/>
  <c r="F140" i="26"/>
  <c r="H140" i="26" s="1"/>
  <c r="M139" i="26"/>
  <c r="K139" i="26"/>
  <c r="I139" i="26"/>
  <c r="F139" i="26"/>
  <c r="H139" i="26" s="1"/>
  <c r="M137" i="26"/>
  <c r="K137" i="26"/>
  <c r="I137" i="26"/>
  <c r="F137" i="26"/>
  <c r="H137" i="26" s="1"/>
  <c r="M136" i="26"/>
  <c r="K136" i="26"/>
  <c r="I136" i="26"/>
  <c r="F136" i="26"/>
  <c r="H136" i="26" s="1"/>
  <c r="M135" i="26"/>
  <c r="K135" i="26"/>
  <c r="I135" i="26"/>
  <c r="F135" i="26"/>
  <c r="H135" i="26" s="1"/>
  <c r="M134" i="26"/>
  <c r="R134" i="26" s="1"/>
  <c r="K134" i="26"/>
  <c r="I134" i="26"/>
  <c r="F134" i="26"/>
  <c r="H134" i="26" s="1"/>
  <c r="M132" i="26"/>
  <c r="K132" i="26"/>
  <c r="I132" i="26"/>
  <c r="F132" i="26"/>
  <c r="H132" i="26" s="1"/>
  <c r="M131" i="26"/>
  <c r="K131" i="26"/>
  <c r="I131" i="26"/>
  <c r="F131" i="26"/>
  <c r="H131" i="26" s="1"/>
  <c r="M130" i="26"/>
  <c r="K130" i="26"/>
  <c r="I130" i="26"/>
  <c r="F130" i="26"/>
  <c r="H130" i="26" s="1"/>
  <c r="M129" i="26"/>
  <c r="K129" i="26"/>
  <c r="I129" i="26"/>
  <c r="F129" i="26"/>
  <c r="H129" i="26" s="1"/>
  <c r="Q127" i="26"/>
  <c r="M127" i="26"/>
  <c r="K127" i="26"/>
  <c r="I127" i="26"/>
  <c r="F127" i="26"/>
  <c r="H127" i="26" s="1"/>
  <c r="Q126" i="26"/>
  <c r="M126" i="26"/>
  <c r="K126" i="26"/>
  <c r="I126" i="26"/>
  <c r="F126" i="26"/>
  <c r="H126" i="26" s="1"/>
  <c r="Q125" i="26"/>
  <c r="M125" i="26"/>
  <c r="K125" i="26"/>
  <c r="I125" i="26"/>
  <c r="F125" i="26"/>
  <c r="H125" i="26" s="1"/>
  <c r="Q124" i="26"/>
  <c r="M124" i="26"/>
  <c r="K124" i="26"/>
  <c r="I124" i="26"/>
  <c r="F124" i="26"/>
  <c r="H124" i="26" s="1"/>
  <c r="Q123" i="26"/>
  <c r="Q122" i="26"/>
  <c r="M122" i="26"/>
  <c r="K122" i="26"/>
  <c r="I122" i="26"/>
  <c r="F122" i="26"/>
  <c r="H122" i="26" s="1"/>
  <c r="Q121" i="26"/>
  <c r="M121" i="26"/>
  <c r="K121" i="26"/>
  <c r="I121" i="26"/>
  <c r="F121" i="26"/>
  <c r="H121" i="26" s="1"/>
  <c r="Q120" i="26"/>
  <c r="M120" i="26"/>
  <c r="K120" i="26"/>
  <c r="I120" i="26"/>
  <c r="F120" i="26"/>
  <c r="H120" i="26" s="1"/>
  <c r="Q119" i="26"/>
  <c r="M119" i="26"/>
  <c r="K119" i="26"/>
  <c r="I119" i="26"/>
  <c r="F119" i="26"/>
  <c r="H119" i="26" s="1"/>
  <c r="Q118" i="26"/>
  <c r="Q117" i="26"/>
  <c r="M117" i="26"/>
  <c r="K117" i="26"/>
  <c r="I117" i="26"/>
  <c r="F117" i="26"/>
  <c r="H117" i="26" s="1"/>
  <c r="Q116" i="26"/>
  <c r="M116" i="26"/>
  <c r="K116" i="26"/>
  <c r="I116" i="26"/>
  <c r="F116" i="26"/>
  <c r="H116" i="26" s="1"/>
  <c r="Q115" i="26"/>
  <c r="M115" i="26"/>
  <c r="K115" i="26"/>
  <c r="I115" i="26"/>
  <c r="F115" i="26"/>
  <c r="H115" i="26" s="1"/>
  <c r="Q114" i="26"/>
  <c r="M114" i="26"/>
  <c r="K114" i="26"/>
  <c r="I114" i="26"/>
  <c r="F114" i="26"/>
  <c r="H114" i="26" s="1"/>
  <c r="Q113" i="26"/>
  <c r="Q112" i="26"/>
  <c r="M112" i="26"/>
  <c r="K112" i="26"/>
  <c r="I112" i="26"/>
  <c r="F112" i="26"/>
  <c r="H112" i="26" s="1"/>
  <c r="Q111" i="26"/>
  <c r="M111" i="26"/>
  <c r="K111" i="26"/>
  <c r="I111" i="26"/>
  <c r="F111" i="26"/>
  <c r="H111" i="26" s="1"/>
  <c r="Q110" i="26"/>
  <c r="M110" i="26"/>
  <c r="K110" i="26"/>
  <c r="I110" i="26"/>
  <c r="F110" i="26"/>
  <c r="H110" i="26" s="1"/>
  <c r="Q109" i="26"/>
  <c r="M109" i="26"/>
  <c r="K109" i="26"/>
  <c r="I109" i="26"/>
  <c r="F109" i="26"/>
  <c r="H109" i="26" s="1"/>
  <c r="Q108" i="26"/>
  <c r="Q107" i="26"/>
  <c r="M107" i="26"/>
  <c r="K107" i="26"/>
  <c r="I107" i="26"/>
  <c r="F107" i="26"/>
  <c r="H107" i="26" s="1"/>
  <c r="Q106" i="26"/>
  <c r="M106" i="26"/>
  <c r="K106" i="26"/>
  <c r="I106" i="26"/>
  <c r="F106" i="26"/>
  <c r="H106" i="26" s="1"/>
  <c r="Q105" i="26"/>
  <c r="M105" i="26"/>
  <c r="K105" i="26"/>
  <c r="I105" i="26"/>
  <c r="F105" i="26"/>
  <c r="H105" i="26" s="1"/>
  <c r="Q104" i="26"/>
  <c r="K104" i="26"/>
  <c r="I104" i="26"/>
  <c r="F104" i="26"/>
  <c r="H104" i="26" s="1"/>
  <c r="Q102" i="26"/>
  <c r="M102" i="26"/>
  <c r="K102" i="26"/>
  <c r="I102" i="26"/>
  <c r="F102" i="26"/>
  <c r="H102" i="26" s="1"/>
  <c r="Q101" i="26"/>
  <c r="M101" i="26"/>
  <c r="K101" i="26"/>
  <c r="I101" i="26"/>
  <c r="F101" i="26"/>
  <c r="H101" i="26" s="1"/>
  <c r="Q100" i="26"/>
  <c r="M100" i="26"/>
  <c r="K100" i="26"/>
  <c r="I100" i="26"/>
  <c r="F100" i="26"/>
  <c r="H100" i="26" s="1"/>
  <c r="Q99" i="26"/>
  <c r="M99" i="26"/>
  <c r="K99" i="26"/>
  <c r="I99" i="26"/>
  <c r="F99" i="26"/>
  <c r="H99" i="26" s="1"/>
  <c r="Q98" i="26"/>
  <c r="Q97" i="26"/>
  <c r="M97" i="26"/>
  <c r="K97" i="26"/>
  <c r="I97" i="26"/>
  <c r="R97" i="26" s="1"/>
  <c r="F97" i="26"/>
  <c r="H97" i="26" s="1"/>
  <c r="Q96" i="26"/>
  <c r="M96" i="26"/>
  <c r="K96" i="26"/>
  <c r="I96" i="26"/>
  <c r="F96" i="26"/>
  <c r="H96" i="26" s="1"/>
  <c r="Q95" i="26"/>
  <c r="M95" i="26"/>
  <c r="K95" i="26"/>
  <c r="I95" i="26"/>
  <c r="F95" i="26"/>
  <c r="H95" i="26" s="1"/>
  <c r="Q94" i="26"/>
  <c r="M94" i="26"/>
  <c r="K94" i="26"/>
  <c r="I94" i="26"/>
  <c r="F94" i="26"/>
  <c r="H94" i="26" s="1"/>
  <c r="Q93" i="26"/>
  <c r="Q92" i="26"/>
  <c r="M92" i="26"/>
  <c r="K92" i="26"/>
  <c r="I92" i="26"/>
  <c r="F92" i="26"/>
  <c r="H92" i="26" s="1"/>
  <c r="Q91" i="26"/>
  <c r="M91" i="26"/>
  <c r="K91" i="26"/>
  <c r="I91" i="26"/>
  <c r="F91" i="26"/>
  <c r="H91" i="26" s="1"/>
  <c r="Q90" i="26"/>
  <c r="M90" i="26"/>
  <c r="K90" i="26"/>
  <c r="I90" i="26"/>
  <c r="F90" i="26"/>
  <c r="H90" i="26" s="1"/>
  <c r="Q89" i="26"/>
  <c r="M89" i="26"/>
  <c r="K89" i="26"/>
  <c r="I89" i="26"/>
  <c r="F89" i="26"/>
  <c r="H89" i="26" s="1"/>
  <c r="Q88" i="26"/>
  <c r="Q87" i="26"/>
  <c r="M87" i="26"/>
  <c r="K87" i="26"/>
  <c r="I87" i="26"/>
  <c r="F87" i="26"/>
  <c r="H87" i="26" s="1"/>
  <c r="Q86" i="26"/>
  <c r="M86" i="26"/>
  <c r="K86" i="26"/>
  <c r="I86" i="26"/>
  <c r="F86" i="26"/>
  <c r="H86" i="26" s="1"/>
  <c r="Q85" i="26"/>
  <c r="M85" i="26"/>
  <c r="K85" i="26"/>
  <c r="I85" i="26"/>
  <c r="F85" i="26"/>
  <c r="H85" i="26" s="1"/>
  <c r="Q84" i="26"/>
  <c r="M84" i="26"/>
  <c r="K84" i="26"/>
  <c r="I84" i="26"/>
  <c r="F84" i="26"/>
  <c r="H84" i="26" s="1"/>
  <c r="Q83" i="26"/>
  <c r="Q82" i="26"/>
  <c r="M82" i="26"/>
  <c r="K82" i="26"/>
  <c r="I82" i="26"/>
  <c r="F82" i="26"/>
  <c r="H82" i="26" s="1"/>
  <c r="Q81" i="26"/>
  <c r="M81" i="26"/>
  <c r="K81" i="26"/>
  <c r="I81" i="26"/>
  <c r="F81" i="26"/>
  <c r="H81" i="26" s="1"/>
  <c r="Q80" i="26"/>
  <c r="M80" i="26"/>
  <c r="K80" i="26"/>
  <c r="I80" i="26"/>
  <c r="F80" i="26"/>
  <c r="H80" i="26" s="1"/>
  <c r="Q79" i="26"/>
  <c r="M79" i="26"/>
  <c r="K79" i="26"/>
  <c r="I79" i="26"/>
  <c r="F79" i="26"/>
  <c r="H79" i="26" s="1"/>
  <c r="Q78" i="26"/>
  <c r="Q77" i="26"/>
  <c r="M77" i="26"/>
  <c r="K77" i="26"/>
  <c r="I77" i="26"/>
  <c r="R77" i="26" s="1"/>
  <c r="F77" i="26"/>
  <c r="H77" i="26" s="1"/>
  <c r="Q76" i="26"/>
  <c r="M76" i="26"/>
  <c r="K76" i="26"/>
  <c r="I76" i="26"/>
  <c r="F76" i="26"/>
  <c r="H76" i="26" s="1"/>
  <c r="Q75" i="26"/>
  <c r="M75" i="26"/>
  <c r="K75" i="26"/>
  <c r="I75" i="26"/>
  <c r="F75" i="26"/>
  <c r="H75" i="26" s="1"/>
  <c r="Q74" i="26"/>
  <c r="M74" i="26"/>
  <c r="K74" i="26"/>
  <c r="I74" i="26"/>
  <c r="F74" i="26"/>
  <c r="H74" i="26" s="1"/>
  <c r="Q73" i="26"/>
  <c r="Q72" i="26"/>
  <c r="M72" i="26"/>
  <c r="K72" i="26"/>
  <c r="I72" i="26"/>
  <c r="F72" i="26"/>
  <c r="H72" i="26" s="1"/>
  <c r="Q71" i="26"/>
  <c r="M71" i="26"/>
  <c r="K71" i="26"/>
  <c r="I71" i="26"/>
  <c r="F71" i="26"/>
  <c r="H71" i="26" s="1"/>
  <c r="Q70" i="26"/>
  <c r="M70" i="26"/>
  <c r="K70" i="26"/>
  <c r="I70" i="26"/>
  <c r="F70" i="26"/>
  <c r="H70" i="26" s="1"/>
  <c r="Q69" i="26"/>
  <c r="M69" i="26"/>
  <c r="K69" i="26"/>
  <c r="I69" i="26"/>
  <c r="F69" i="26"/>
  <c r="H69" i="26" s="1"/>
  <c r="Q68" i="26"/>
  <c r="Q67" i="26"/>
  <c r="M67" i="26"/>
  <c r="K67" i="26"/>
  <c r="I67" i="26"/>
  <c r="F67" i="26"/>
  <c r="H67" i="26" s="1"/>
  <c r="Q66" i="26"/>
  <c r="M66" i="26"/>
  <c r="K66" i="26"/>
  <c r="I66" i="26"/>
  <c r="F66" i="26"/>
  <c r="H66" i="26" s="1"/>
  <c r="Q65" i="26"/>
  <c r="M65" i="26"/>
  <c r="K65" i="26"/>
  <c r="I65" i="26"/>
  <c r="F65" i="26"/>
  <c r="H65" i="26" s="1"/>
  <c r="Q64" i="26"/>
  <c r="M64" i="26"/>
  <c r="K64" i="26"/>
  <c r="I64" i="26"/>
  <c r="F64" i="26"/>
  <c r="H64" i="26" s="1"/>
  <c r="Q63" i="26"/>
  <c r="Q62" i="26"/>
  <c r="M62" i="26"/>
  <c r="K62" i="26"/>
  <c r="I62" i="26"/>
  <c r="F62" i="26"/>
  <c r="H62" i="26" s="1"/>
  <c r="M61" i="26"/>
  <c r="K61" i="26"/>
  <c r="I61" i="26"/>
  <c r="R61" i="26" s="1"/>
  <c r="F61" i="26"/>
  <c r="H61" i="26" s="1"/>
  <c r="M60" i="26"/>
  <c r="K60" i="26"/>
  <c r="I60" i="26"/>
  <c r="R60" i="26" s="1"/>
  <c r="F60" i="26"/>
  <c r="H60" i="26" s="1"/>
  <c r="M59" i="26"/>
  <c r="K59" i="26"/>
  <c r="I59" i="26"/>
  <c r="F59" i="26"/>
  <c r="H59" i="26" s="1"/>
  <c r="Q58" i="26"/>
  <c r="Q57" i="26"/>
  <c r="M57" i="26"/>
  <c r="K57" i="26"/>
  <c r="I57" i="26"/>
  <c r="F57" i="26"/>
  <c r="H57" i="26" s="1"/>
  <c r="Q56" i="26"/>
  <c r="M56" i="26"/>
  <c r="K56" i="26"/>
  <c r="I56" i="26"/>
  <c r="F56" i="26"/>
  <c r="H56" i="26" s="1"/>
  <c r="Q55" i="26"/>
  <c r="M55" i="26"/>
  <c r="K55" i="26"/>
  <c r="I55" i="26"/>
  <c r="F55" i="26"/>
  <c r="H55" i="26" s="1"/>
  <c r="Q54" i="26"/>
  <c r="M54" i="26"/>
  <c r="K54" i="26"/>
  <c r="I54" i="26"/>
  <c r="F54" i="26"/>
  <c r="H54" i="26" s="1"/>
  <c r="Q53" i="26"/>
  <c r="M52" i="26"/>
  <c r="K52" i="26"/>
  <c r="I52" i="26"/>
  <c r="F52" i="26"/>
  <c r="H52" i="26" s="1"/>
  <c r="M51" i="26"/>
  <c r="K51" i="26"/>
  <c r="I51" i="26"/>
  <c r="F51" i="26"/>
  <c r="H51" i="26" s="1"/>
  <c r="M50" i="26"/>
  <c r="K50" i="26"/>
  <c r="I50" i="26"/>
  <c r="F50" i="26"/>
  <c r="H50" i="26" s="1"/>
  <c r="Q49" i="26"/>
  <c r="M49" i="26"/>
  <c r="K49" i="26"/>
  <c r="I49" i="26"/>
  <c r="F49" i="26"/>
  <c r="H49" i="26" s="1"/>
  <c r="Q48" i="26"/>
  <c r="Q47" i="26"/>
  <c r="M47" i="26"/>
  <c r="K47" i="26"/>
  <c r="I47" i="26"/>
  <c r="F47" i="26"/>
  <c r="H47" i="26" s="1"/>
  <c r="Q46" i="26"/>
  <c r="M46" i="26"/>
  <c r="K46" i="26"/>
  <c r="I46" i="26"/>
  <c r="F46" i="26"/>
  <c r="H46" i="26" s="1"/>
  <c r="M45" i="26"/>
  <c r="K45" i="26"/>
  <c r="I45" i="26"/>
  <c r="F45" i="26"/>
  <c r="H45" i="26" s="1"/>
  <c r="Q44" i="26"/>
  <c r="M44" i="26"/>
  <c r="K44" i="26"/>
  <c r="I44" i="26"/>
  <c r="F44" i="26"/>
  <c r="H44" i="26" s="1"/>
  <c r="Q43" i="26"/>
  <c r="Q42" i="26"/>
  <c r="M42" i="26"/>
  <c r="K42" i="26"/>
  <c r="I42" i="26"/>
  <c r="F42" i="26"/>
  <c r="H42" i="26" s="1"/>
  <c r="Q41" i="26"/>
  <c r="M41" i="26"/>
  <c r="K41" i="26"/>
  <c r="I41" i="26"/>
  <c r="F41" i="26"/>
  <c r="H41" i="26" s="1"/>
  <c r="Q40" i="26"/>
  <c r="M40" i="26"/>
  <c r="K40" i="26"/>
  <c r="I40" i="26"/>
  <c r="F40" i="26"/>
  <c r="H40" i="26" s="1"/>
  <c r="Q39" i="26"/>
  <c r="M39" i="26"/>
  <c r="K39" i="26"/>
  <c r="I39" i="26"/>
  <c r="F39" i="26"/>
  <c r="H39" i="26" s="1"/>
  <c r="Q38" i="26"/>
  <c r="Q37" i="26"/>
  <c r="M37" i="26"/>
  <c r="K37" i="26"/>
  <c r="I37" i="26"/>
  <c r="F37" i="26"/>
  <c r="H37" i="26" s="1"/>
  <c r="Q36" i="26"/>
  <c r="M36" i="26"/>
  <c r="K36" i="26"/>
  <c r="I36" i="26"/>
  <c r="F36" i="26"/>
  <c r="H36" i="26" s="1"/>
  <c r="Q35" i="26"/>
  <c r="M35" i="26"/>
  <c r="K35" i="26"/>
  <c r="I35" i="26"/>
  <c r="F35" i="26"/>
  <c r="H35" i="26" s="1"/>
  <c r="Q34" i="26"/>
  <c r="M34" i="26"/>
  <c r="K34" i="26"/>
  <c r="I34" i="26"/>
  <c r="F34" i="26"/>
  <c r="H34" i="26" s="1"/>
  <c r="Q33" i="26"/>
  <c r="Q32" i="26"/>
  <c r="M32" i="26"/>
  <c r="K32" i="26"/>
  <c r="I32" i="26"/>
  <c r="F32" i="26"/>
  <c r="H32" i="26" s="1"/>
  <c r="Q31" i="26"/>
  <c r="M31" i="26"/>
  <c r="K31" i="26"/>
  <c r="I31" i="26"/>
  <c r="R31" i="26" s="1"/>
  <c r="F31" i="26"/>
  <c r="H31" i="26" s="1"/>
  <c r="Q30" i="26"/>
  <c r="M30" i="26"/>
  <c r="K30" i="26"/>
  <c r="I30" i="26"/>
  <c r="F30" i="26"/>
  <c r="H30" i="26" s="1"/>
  <c r="Q29" i="26"/>
  <c r="M29" i="26"/>
  <c r="K29" i="26"/>
  <c r="I29" i="26"/>
  <c r="F29" i="26"/>
  <c r="H29" i="26" s="1"/>
  <c r="Q28" i="26"/>
  <c r="M27" i="26"/>
  <c r="K27" i="26"/>
  <c r="I27" i="26"/>
  <c r="F27" i="26"/>
  <c r="H27" i="26" s="1"/>
  <c r="M26" i="26"/>
  <c r="R26" i="26" s="1"/>
  <c r="K26" i="26"/>
  <c r="I26" i="26"/>
  <c r="F26" i="26"/>
  <c r="H26" i="26" s="1"/>
  <c r="M25" i="26"/>
  <c r="K25" i="26"/>
  <c r="I25" i="26"/>
  <c r="F25" i="26"/>
  <c r="H25" i="26" s="1"/>
  <c r="M24" i="26"/>
  <c r="K24" i="26"/>
  <c r="I24" i="26"/>
  <c r="F24" i="26"/>
  <c r="H24" i="26" s="1"/>
  <c r="Q22" i="26"/>
  <c r="M22" i="26"/>
  <c r="K22" i="26"/>
  <c r="I22" i="26"/>
  <c r="F22" i="26"/>
  <c r="H22" i="26" s="1"/>
  <c r="Q21" i="26"/>
  <c r="M21" i="26"/>
  <c r="K21" i="26"/>
  <c r="I21" i="26"/>
  <c r="F21" i="26"/>
  <c r="H21" i="26" s="1"/>
  <c r="Q20" i="26"/>
  <c r="M20" i="26"/>
  <c r="K20" i="26"/>
  <c r="I20" i="26"/>
  <c r="F20" i="26"/>
  <c r="H20" i="26" s="1"/>
  <c r="Q19" i="26"/>
  <c r="M19" i="26"/>
  <c r="K19" i="26"/>
  <c r="I19" i="26"/>
  <c r="F19" i="26"/>
  <c r="H19" i="26" s="1"/>
  <c r="Q18" i="26"/>
  <c r="Q17" i="26"/>
  <c r="M17" i="26"/>
  <c r="K17" i="26"/>
  <c r="I17" i="26"/>
  <c r="F17" i="26"/>
  <c r="H17" i="26" s="1"/>
  <c r="Q16" i="26"/>
  <c r="M16" i="26"/>
  <c r="K16" i="26"/>
  <c r="I16" i="26"/>
  <c r="F16" i="26"/>
  <c r="H16" i="26" s="1"/>
  <c r="Q15" i="26"/>
  <c r="M15" i="26"/>
  <c r="K15" i="26"/>
  <c r="I15" i="26"/>
  <c r="F15" i="26"/>
  <c r="H15" i="26" s="1"/>
  <c r="Q14" i="26"/>
  <c r="M14" i="26"/>
  <c r="K14" i="26"/>
  <c r="I14" i="26"/>
  <c r="F14" i="26"/>
  <c r="H14" i="26" s="1"/>
  <c r="Q13" i="26"/>
  <c r="M12" i="26"/>
  <c r="K12" i="26"/>
  <c r="I12" i="26"/>
  <c r="F12" i="26"/>
  <c r="H12" i="26" s="1"/>
  <c r="M11" i="26"/>
  <c r="K11" i="26"/>
  <c r="I11" i="26"/>
  <c r="F11" i="26"/>
  <c r="H11" i="26" s="1"/>
  <c r="M10" i="26"/>
  <c r="K10" i="26"/>
  <c r="I10" i="26"/>
  <c r="F10" i="26"/>
  <c r="H10" i="26" s="1"/>
  <c r="M9" i="26"/>
  <c r="K9" i="26"/>
  <c r="I9" i="26"/>
  <c r="F9" i="26"/>
  <c r="H9" i="26" s="1"/>
  <c r="Q7" i="26"/>
  <c r="M7" i="26"/>
  <c r="K7" i="26"/>
  <c r="I7" i="26"/>
  <c r="F7" i="26"/>
  <c r="H7" i="26" s="1"/>
  <c r="Q6" i="26"/>
  <c r="M6" i="26"/>
  <c r="K6" i="26"/>
  <c r="I6" i="26"/>
  <c r="F6" i="26"/>
  <c r="H6" i="26" s="1"/>
  <c r="Q5" i="26"/>
  <c r="M5" i="26"/>
  <c r="K5" i="26"/>
  <c r="I5" i="26"/>
  <c r="F5" i="26"/>
  <c r="H5" i="26" s="1"/>
  <c r="Q4" i="26"/>
  <c r="M4" i="26"/>
  <c r="K4" i="26"/>
  <c r="I4" i="26"/>
  <c r="F4" i="26"/>
  <c r="H4" i="26" s="1"/>
  <c r="Q3" i="26"/>
  <c r="R27" i="26" l="1"/>
  <c r="R24" i="26"/>
  <c r="S24" i="26" s="1"/>
  <c r="R66" i="26"/>
  <c r="R70" i="26"/>
  <c r="R4" i="26"/>
  <c r="R11" i="26"/>
  <c r="R12" i="26"/>
  <c r="R45" i="26"/>
  <c r="R46" i="26"/>
  <c r="R85" i="26"/>
  <c r="R160" i="26"/>
  <c r="R42" i="26"/>
  <c r="R136" i="26"/>
  <c r="S136" i="26" s="1"/>
  <c r="S11" i="26"/>
  <c r="R200" i="26"/>
  <c r="R17" i="26"/>
  <c r="S17" i="26" s="1"/>
  <c r="R21" i="26"/>
  <c r="S21" i="26" s="1"/>
  <c r="R10" i="26"/>
  <c r="R30" i="26"/>
  <c r="R65" i="26"/>
  <c r="R104" i="26"/>
  <c r="S104" i="26" s="1"/>
  <c r="R109" i="26"/>
  <c r="R121" i="26"/>
  <c r="R125" i="26"/>
  <c r="S125" i="26" s="1"/>
  <c r="R135" i="26"/>
  <c r="R140" i="26"/>
  <c r="R162" i="26"/>
  <c r="R172" i="26"/>
  <c r="R180" i="26"/>
  <c r="S10" i="26"/>
  <c r="R15" i="26"/>
  <c r="S15" i="26" s="1"/>
  <c r="R19" i="26"/>
  <c r="S19" i="26" s="1"/>
  <c r="R32" i="26"/>
  <c r="S32" i="26" s="1"/>
  <c r="R52" i="26"/>
  <c r="S52" i="26" s="1"/>
  <c r="R67" i="26"/>
  <c r="R111" i="26"/>
  <c r="S134" i="26"/>
  <c r="R141" i="26"/>
  <c r="R142" i="26"/>
  <c r="R149" i="26"/>
  <c r="S149" i="26" s="1"/>
  <c r="R165" i="26"/>
  <c r="S165" i="26" s="1"/>
  <c r="R184" i="26"/>
  <c r="R7" i="26"/>
  <c r="S7" i="26" s="1"/>
  <c r="R29" i="26"/>
  <c r="S29" i="26" s="1"/>
  <c r="R40" i="26"/>
  <c r="S40" i="26" s="1"/>
  <c r="R64" i="26"/>
  <c r="R75" i="26"/>
  <c r="S75" i="26" s="1"/>
  <c r="R95" i="26"/>
  <c r="R116" i="26"/>
  <c r="S116" i="26" s="1"/>
  <c r="R129" i="26"/>
  <c r="S129" i="26" s="1"/>
  <c r="R131" i="26"/>
  <c r="S131" i="26" s="1"/>
  <c r="R194" i="26"/>
  <c r="R196" i="26"/>
  <c r="S196" i="26" s="1"/>
  <c r="R9" i="26"/>
  <c r="S9" i="26" s="1"/>
  <c r="R20" i="26"/>
  <c r="S20" i="26" s="1"/>
  <c r="R22" i="26"/>
  <c r="S22" i="26" s="1"/>
  <c r="R50" i="26"/>
  <c r="S50" i="26" s="1"/>
  <c r="R59" i="26"/>
  <c r="R74" i="26"/>
  <c r="R80" i="26"/>
  <c r="S80" i="26" s="1"/>
  <c r="R86" i="26"/>
  <c r="S86" i="26" s="1"/>
  <c r="R94" i="26"/>
  <c r="S94" i="26" s="1"/>
  <c r="R112" i="26"/>
  <c r="R120" i="26"/>
  <c r="S120" i="26" s="1"/>
  <c r="R132" i="26"/>
  <c r="R156" i="26"/>
  <c r="R44" i="26"/>
  <c r="S44" i="26" s="1"/>
  <c r="R49" i="26"/>
  <c r="S49" i="26" s="1"/>
  <c r="R62" i="26"/>
  <c r="S62" i="26" s="1"/>
  <c r="R79" i="26"/>
  <c r="S79" i="26" s="1"/>
  <c r="R84" i="26"/>
  <c r="R92" i="26"/>
  <c r="S92" i="26" s="1"/>
  <c r="R99" i="26"/>
  <c r="S99" i="26" s="1"/>
  <c r="R122" i="26"/>
  <c r="S122" i="26" s="1"/>
  <c r="S27" i="26"/>
  <c r="S61" i="26"/>
  <c r="S77" i="26"/>
  <c r="S26" i="26"/>
  <c r="S60" i="26"/>
  <c r="S12" i="26"/>
  <c r="S132" i="26"/>
  <c r="S42" i="26"/>
  <c r="S45" i="26"/>
  <c r="S46" i="26"/>
  <c r="S135" i="26"/>
  <c r="R154" i="26"/>
  <c r="R170" i="26"/>
  <c r="S170" i="26" s="1"/>
  <c r="R144" i="26"/>
  <c r="R146" i="26"/>
  <c r="S146" i="26" s="1"/>
  <c r="R150" i="26"/>
  <c r="S150" i="26" s="1"/>
  <c r="R151" i="26"/>
  <c r="S151" i="26" s="1"/>
  <c r="R159" i="26"/>
  <c r="S159" i="26" s="1"/>
  <c r="R192" i="26"/>
  <c r="R166" i="26"/>
  <c r="S166" i="26" s="1"/>
  <c r="R167" i="26"/>
  <c r="R186" i="26"/>
  <c r="R152" i="26"/>
  <c r="S152" i="26" s="1"/>
  <c r="R164" i="26"/>
  <c r="S164" i="26" s="1"/>
  <c r="R176" i="26"/>
  <c r="S176" i="26" s="1"/>
  <c r="R181" i="26"/>
  <c r="S181" i="26" s="1"/>
  <c r="R182" i="26"/>
  <c r="S182" i="26" s="1"/>
  <c r="R197" i="26"/>
  <c r="S197" i="26" s="1"/>
  <c r="R157" i="26"/>
  <c r="S157" i="26" s="1"/>
  <c r="R174" i="26"/>
  <c r="S174" i="26" s="1"/>
  <c r="R175" i="26"/>
  <c r="S175" i="26" s="1"/>
  <c r="R189" i="26"/>
  <c r="S189" i="26" s="1"/>
  <c r="R190" i="26"/>
  <c r="S200" i="26"/>
  <c r="S192" i="26"/>
  <c r="S167" i="26"/>
  <c r="S186" i="26"/>
  <c r="S194" i="26"/>
  <c r="S140" i="26"/>
  <c r="S156" i="26"/>
  <c r="S172" i="26"/>
  <c r="S180" i="26"/>
  <c r="R185" i="26"/>
  <c r="S185" i="26" s="1"/>
  <c r="R199" i="26"/>
  <c r="S199" i="26" s="1"/>
  <c r="R201" i="26"/>
  <c r="S201" i="26" s="1"/>
  <c r="R202" i="26"/>
  <c r="S202" i="26" s="1"/>
  <c r="S184" i="26"/>
  <c r="S162" i="26"/>
  <c r="S141" i="26"/>
  <c r="S142" i="26"/>
  <c r="R187" i="26"/>
  <c r="S187" i="26" s="1"/>
  <c r="S190" i="26"/>
  <c r="S4" i="26"/>
  <c r="S30" i="26"/>
  <c r="S95" i="26"/>
  <c r="R35" i="26"/>
  <c r="S35" i="26" s="1"/>
  <c r="R55" i="26"/>
  <c r="S55" i="26" s="1"/>
  <c r="S74" i="26"/>
  <c r="S84" i="26"/>
  <c r="R105" i="26"/>
  <c r="S105" i="26" s="1"/>
  <c r="S144" i="26"/>
  <c r="R14" i="26"/>
  <c r="S14" i="26" s="1"/>
  <c r="R16" i="26"/>
  <c r="S16" i="26" s="1"/>
  <c r="S59" i="26"/>
  <c r="S66" i="26"/>
  <c r="R69" i="26"/>
  <c r="S69" i="26" s="1"/>
  <c r="R71" i="26"/>
  <c r="S71" i="26" s="1"/>
  <c r="R91" i="26"/>
  <c r="S91" i="26" s="1"/>
  <c r="R110" i="26"/>
  <c r="S110" i="26" s="1"/>
  <c r="S111" i="26"/>
  <c r="R119" i="26"/>
  <c r="S119" i="26" s="1"/>
  <c r="R124" i="26"/>
  <c r="S124" i="26" s="1"/>
  <c r="S64" i="26"/>
  <c r="R37" i="26"/>
  <c r="S37" i="26" s="1"/>
  <c r="R57" i="26"/>
  <c r="S57" i="26" s="1"/>
  <c r="S67" i="26"/>
  <c r="S154" i="26"/>
  <c r="S160" i="26"/>
  <c r="R5" i="26"/>
  <c r="S5" i="26" s="1"/>
  <c r="R6" i="26"/>
  <c r="S6" i="26" s="1"/>
  <c r="R25" i="26"/>
  <c r="S25" i="26" s="1"/>
  <c r="S31" i="26"/>
  <c r="R34" i="26"/>
  <c r="S34" i="26" s="1"/>
  <c r="R36" i="26"/>
  <c r="S36" i="26" s="1"/>
  <c r="R39" i="26"/>
  <c r="S39" i="26" s="1"/>
  <c r="R41" i="26"/>
  <c r="S41" i="26" s="1"/>
  <c r="R47" i="26"/>
  <c r="S47" i="26" s="1"/>
  <c r="R51" i="26"/>
  <c r="S51" i="26" s="1"/>
  <c r="R54" i="26"/>
  <c r="S54" i="26" s="1"/>
  <c r="R56" i="26"/>
  <c r="S56" i="26" s="1"/>
  <c r="S65" i="26"/>
  <c r="S70" i="26"/>
  <c r="R76" i="26"/>
  <c r="S76" i="26" s="1"/>
  <c r="R87" i="26"/>
  <c r="S87" i="26" s="1"/>
  <c r="R96" i="26"/>
  <c r="S96" i="26" s="1"/>
  <c r="S97" i="26"/>
  <c r="R100" i="26"/>
  <c r="S100" i="26" s="1"/>
  <c r="S109" i="26"/>
  <c r="R117" i="26"/>
  <c r="S117" i="26" s="1"/>
  <c r="R72" i="26"/>
  <c r="S72" i="26" s="1"/>
  <c r="R82" i="26"/>
  <c r="S82" i="26" s="1"/>
  <c r="S85" i="26"/>
  <c r="R90" i="26"/>
  <c r="S90" i="26" s="1"/>
  <c r="R102" i="26"/>
  <c r="S102" i="26" s="1"/>
  <c r="R107" i="26"/>
  <c r="S107" i="26" s="1"/>
  <c r="S112" i="26"/>
  <c r="R115" i="26"/>
  <c r="S115" i="26" s="1"/>
  <c r="S121" i="26"/>
  <c r="R127" i="26"/>
  <c r="S127" i="26" s="1"/>
  <c r="R130" i="26"/>
  <c r="S130" i="26" s="1"/>
  <c r="R139" i="26"/>
  <c r="S139" i="26" s="1"/>
  <c r="R147" i="26"/>
  <c r="S147" i="26" s="1"/>
  <c r="R155" i="26"/>
  <c r="S155" i="26" s="1"/>
  <c r="R171" i="26"/>
  <c r="S171" i="26" s="1"/>
  <c r="R179" i="26"/>
  <c r="S179" i="26" s="1"/>
  <c r="R191" i="26"/>
  <c r="S191" i="26" s="1"/>
  <c r="R81" i="26"/>
  <c r="S81" i="26" s="1"/>
  <c r="R89" i="26"/>
  <c r="S89" i="26" s="1"/>
  <c r="R101" i="26"/>
  <c r="S101" i="26" s="1"/>
  <c r="R106" i="26"/>
  <c r="S106" i="26" s="1"/>
  <c r="R114" i="26"/>
  <c r="S114" i="26" s="1"/>
  <c r="R126" i="26"/>
  <c r="S126" i="26" s="1"/>
  <c r="R137" i="26"/>
  <c r="S137" i="26" s="1"/>
  <c r="R145" i="26"/>
  <c r="S145" i="26" s="1"/>
  <c r="R161" i="26"/>
  <c r="S161" i="26" s="1"/>
  <c r="R169" i="26"/>
  <c r="S169" i="26" s="1"/>
  <c r="R177" i="26"/>
  <c r="S177" i="26" s="1"/>
  <c r="R195" i="26"/>
  <c r="S195" i="26" s="1"/>
  <c r="G110" i="5" l="1"/>
  <c r="G109" i="5"/>
  <c r="G108" i="5"/>
  <c r="D107" i="5"/>
  <c r="G107" i="5" s="1"/>
  <c r="D106" i="5"/>
  <c r="G106" i="5" s="1"/>
  <c r="D105" i="5"/>
  <c r="G105" i="5" s="1"/>
  <c r="D104" i="5"/>
  <c r="G104" i="5" s="1"/>
  <c r="D103" i="5"/>
  <c r="G103" i="5" s="1"/>
  <c r="D102" i="5"/>
  <c r="G102" i="5" s="1"/>
  <c r="D101" i="5"/>
  <c r="G101" i="5" s="1"/>
  <c r="D100" i="5"/>
  <c r="G100" i="5" s="1"/>
  <c r="D99" i="5"/>
  <c r="G99" i="5" s="1"/>
  <c r="G98" i="5"/>
  <c r="G97" i="5"/>
  <c r="G96" i="5"/>
  <c r="G95" i="5"/>
  <c r="D94" i="5"/>
  <c r="G94" i="5" s="1"/>
  <c r="D93" i="5"/>
  <c r="G93" i="5" s="1"/>
  <c r="D92" i="5"/>
  <c r="G92" i="5" s="1"/>
  <c r="D91" i="5"/>
  <c r="G91" i="5" s="1"/>
  <c r="G90" i="5"/>
  <c r="G89" i="5"/>
  <c r="G88" i="5"/>
  <c r="G87" i="5"/>
  <c r="D86" i="5"/>
  <c r="G86" i="5" s="1"/>
  <c r="D85" i="5"/>
  <c r="G85" i="5" s="1"/>
  <c r="D84" i="5"/>
  <c r="G84" i="5" s="1"/>
  <c r="D83" i="5"/>
  <c r="G83" i="5" s="1"/>
  <c r="D82" i="5"/>
  <c r="G82" i="5" s="1"/>
  <c r="D81" i="5"/>
  <c r="G81" i="5" s="1"/>
  <c r="D80" i="5"/>
  <c r="G80" i="5" s="1"/>
  <c r="D79" i="5"/>
  <c r="G79" i="5" s="1"/>
  <c r="D78" i="5"/>
  <c r="G78" i="5" s="1"/>
  <c r="D77" i="5"/>
  <c r="G77" i="5" s="1"/>
  <c r="D76" i="5"/>
  <c r="G76" i="5" s="1"/>
  <c r="D75" i="5"/>
  <c r="G75" i="5" s="1"/>
  <c r="D74" i="5"/>
  <c r="G74" i="5" s="1"/>
  <c r="D73" i="5"/>
  <c r="G73" i="5" s="1"/>
  <c r="D72" i="5"/>
  <c r="G72" i="5" s="1"/>
  <c r="D71" i="5"/>
  <c r="G71" i="5" s="1"/>
  <c r="G70" i="5"/>
  <c r="G69" i="5"/>
  <c r="G68" i="5"/>
  <c r="G67" i="5"/>
  <c r="D66" i="5"/>
  <c r="G66" i="5" s="1"/>
  <c r="D65" i="5"/>
  <c r="G65" i="5" s="1"/>
  <c r="D64" i="5"/>
  <c r="G64" i="5" s="1"/>
  <c r="D63" i="5"/>
  <c r="G63" i="5" s="1"/>
  <c r="G62" i="5"/>
  <c r="G61" i="5"/>
  <c r="G60" i="5"/>
  <c r="G59" i="5"/>
  <c r="G58" i="5"/>
  <c r="G57" i="5"/>
  <c r="G56" i="5"/>
  <c r="G55" i="5"/>
  <c r="G54" i="5"/>
  <c r="G53" i="5"/>
  <c r="G52" i="5"/>
  <c r="G51" i="5"/>
  <c r="D50" i="5"/>
  <c r="G50" i="5" s="1"/>
  <c r="D49" i="5"/>
  <c r="G49" i="5" s="1"/>
  <c r="D48" i="5"/>
  <c r="G48" i="5" s="1"/>
  <c r="D47" i="5"/>
  <c r="G47" i="5" s="1"/>
  <c r="D46" i="5"/>
  <c r="G46" i="5" s="1"/>
  <c r="D45" i="5"/>
  <c r="G45" i="5" s="1"/>
  <c r="D44" i="5"/>
  <c r="G44" i="5" s="1"/>
  <c r="D43" i="5"/>
  <c r="G43" i="5" s="1"/>
  <c r="D42" i="5"/>
  <c r="G42" i="5" s="1"/>
  <c r="D41" i="5"/>
  <c r="G41" i="5" s="1"/>
  <c r="D40" i="5"/>
  <c r="G40" i="5" s="1"/>
  <c r="D39" i="5"/>
  <c r="G39" i="5" s="1"/>
  <c r="D38" i="5"/>
  <c r="G38" i="5" s="1"/>
  <c r="D37" i="5"/>
  <c r="G37" i="5" s="1"/>
  <c r="D36" i="5"/>
  <c r="G36" i="5" s="1"/>
  <c r="D35" i="5"/>
  <c r="G35" i="5" s="1"/>
  <c r="D34" i="5"/>
  <c r="G34" i="5" s="1"/>
  <c r="D33" i="5"/>
  <c r="G33" i="5" s="1"/>
  <c r="D32" i="5"/>
  <c r="G32" i="5" s="1"/>
  <c r="D31" i="5"/>
  <c r="G31" i="5" s="1"/>
  <c r="E30" i="5"/>
  <c r="D30" i="5"/>
  <c r="E29" i="5"/>
  <c r="D29" i="5"/>
  <c r="E28" i="5"/>
  <c r="D28" i="5"/>
  <c r="E27" i="5"/>
  <c r="D27" i="5"/>
  <c r="G26" i="5"/>
  <c r="G25" i="5"/>
  <c r="D24" i="5"/>
  <c r="G24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4" i="5"/>
  <c r="G14" i="5" s="1"/>
  <c r="D13" i="5"/>
  <c r="G13" i="5" s="1"/>
  <c r="D12" i="5"/>
  <c r="G12" i="5" s="1"/>
  <c r="D11" i="5"/>
  <c r="G11" i="5" s="1"/>
  <c r="G10" i="5"/>
  <c r="G9" i="5"/>
  <c r="G8" i="5"/>
  <c r="G7" i="5"/>
  <c r="G6" i="5"/>
  <c r="G5" i="5"/>
  <c r="G4" i="5"/>
  <c r="G3" i="5"/>
  <c r="F35" i="2"/>
  <c r="F36" i="2"/>
  <c r="F37" i="2"/>
  <c r="F38" i="2"/>
  <c r="E31" i="7"/>
  <c r="E32" i="7"/>
  <c r="E33" i="7"/>
  <c r="E34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3" i="7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3" i="2"/>
  <c r="G28" i="5" l="1"/>
  <c r="G30" i="5"/>
  <c r="G29" i="5"/>
  <c r="G27" i="5"/>
</calcChain>
</file>

<file path=xl/sharedStrings.xml><?xml version="1.0" encoding="utf-8"?>
<sst xmlns="http://schemas.openxmlformats.org/spreadsheetml/2006/main" count="313" uniqueCount="91">
  <si>
    <t>Kode</t>
  </si>
  <si>
    <t>Tahun</t>
  </si>
  <si>
    <t>No</t>
  </si>
  <si>
    <t>AALI</t>
  </si>
  <si>
    <t>ADES</t>
  </si>
  <si>
    <t>BISI</t>
  </si>
  <si>
    <t>BUDI</t>
  </si>
  <si>
    <t>CAMP</t>
  </si>
  <si>
    <t>CEKA</t>
  </si>
  <si>
    <t>CLEO</t>
  </si>
  <si>
    <t>CPRO</t>
  </si>
  <si>
    <t>DLTA</t>
  </si>
  <si>
    <t>DSNG</t>
  </si>
  <si>
    <t>GOOD</t>
  </si>
  <si>
    <t>HOKI</t>
  </si>
  <si>
    <t>ICBP</t>
  </si>
  <si>
    <t>INDF</t>
  </si>
  <si>
    <t>JPFA</t>
  </si>
  <si>
    <t>LSIP</t>
  </si>
  <si>
    <t>MLBI</t>
  </si>
  <si>
    <t>MYOR</t>
  </si>
  <si>
    <t>ROTI</t>
  </si>
  <si>
    <t>SKBM</t>
  </si>
  <si>
    <t>SKLT</t>
  </si>
  <si>
    <t>SMAR</t>
  </si>
  <si>
    <t>SSMS</t>
  </si>
  <si>
    <t>STTP</t>
  </si>
  <si>
    <t>TBLA</t>
  </si>
  <si>
    <t>TGKA</t>
  </si>
  <si>
    <t>ULTJ</t>
  </si>
  <si>
    <t>Kepemilikan Institusional</t>
  </si>
  <si>
    <t>Firm Size</t>
  </si>
  <si>
    <t>y</t>
  </si>
  <si>
    <t>TACit</t>
  </si>
  <si>
    <t>PPE (Aset Tetap)</t>
  </si>
  <si>
    <t>TRRit</t>
  </si>
  <si>
    <r>
      <rPr>
        <b/>
        <i/>
        <sz val="11"/>
        <color theme="1"/>
        <rFont val="Calibri"/>
        <family val="2"/>
        <scheme val="minor"/>
      </rPr>
      <t>Net Income</t>
    </r>
    <r>
      <rPr>
        <b/>
        <sz val="11"/>
        <color theme="1"/>
        <rFont val="Calibri"/>
        <family val="2"/>
        <scheme val="minor"/>
      </rPr>
      <t xml:space="preserve"> (Laba Bersih)</t>
    </r>
  </si>
  <si>
    <r>
      <rPr>
        <b/>
        <i/>
        <sz val="11"/>
        <color theme="1"/>
        <rFont val="Calibri"/>
        <family val="2"/>
        <scheme val="minor"/>
      </rPr>
      <t xml:space="preserve">Pretax Income (EBIT)it </t>
    </r>
    <r>
      <rPr>
        <b/>
        <sz val="11"/>
        <color theme="1"/>
        <rFont val="Calibri"/>
        <family val="2"/>
        <scheme val="minor"/>
      </rPr>
      <t>(Laba sebelum Pajak)</t>
    </r>
  </si>
  <si>
    <t>Laba Setelah Pajak</t>
  </si>
  <si>
    <t>Total Aktiva</t>
  </si>
  <si>
    <t>Jumlah saham beredar</t>
  </si>
  <si>
    <t>Jumlah saham institusi</t>
  </si>
  <si>
    <t>KI</t>
  </si>
  <si>
    <t>Total Aset</t>
  </si>
  <si>
    <t>Ukuran Perusahaan</t>
  </si>
  <si>
    <r>
      <t xml:space="preserve">Tax Retention Rate </t>
    </r>
    <r>
      <rPr>
        <sz val="11"/>
        <color theme="1"/>
        <rFont val="Calibri"/>
        <family val="2"/>
        <scheme val="minor"/>
      </rPr>
      <t>(Tingkat Retensi Pajak/Tingkat Efektivitas Perencanaan Pajak)</t>
    </r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</si>
  <si>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</si>
  <si>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</si>
  <si>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</si>
  <si>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</si>
  <si>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</si>
  <si>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</si>
  <si>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</si>
  <si>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</si>
  <si>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</si>
  <si>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</si>
  <si>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t>a. Dependent Variable: y</t>
  </si>
  <si>
    <r>
      <t>Coefficients</t>
    </r>
    <r>
      <rPr>
        <b/>
        <vertAlign val="superscript"/>
        <sz val="9"/>
        <color indexed="8"/>
        <rFont val="Arial Bold"/>
      </rPr>
      <t>a</t>
    </r>
  </si>
  <si>
    <t>Laba Bersih</t>
  </si>
  <si>
    <t>Arus Kas Operasi</t>
  </si>
  <si>
    <t>Y</t>
  </si>
  <si>
    <t xml:space="preserve"> </t>
  </si>
  <si>
    <t>ROA (Return on Assets)</t>
  </si>
  <si>
    <t>b1</t>
  </si>
  <si>
    <t>b2</t>
  </si>
  <si>
    <t>GGRM</t>
  </si>
  <si>
    <t>WIIM</t>
  </si>
  <si>
    <t>HMSP</t>
  </si>
  <si>
    <t>UNVR</t>
  </si>
  <si>
    <t>GEMA</t>
  </si>
  <si>
    <t>WOOD</t>
  </si>
  <si>
    <t>DVLA</t>
  </si>
  <si>
    <t>KLBF</t>
  </si>
  <si>
    <t>MERK</t>
  </si>
  <si>
    <t>PEHA</t>
  </si>
  <si>
    <t>PYFA</t>
  </si>
  <si>
    <t>SIDO</t>
  </si>
  <si>
    <t>TSPC</t>
  </si>
  <si>
    <t>Ait-1 (Total Aset)</t>
  </si>
  <si>
    <t>TACit/Ait-1</t>
  </si>
  <si>
    <t>1/Ait-1</t>
  </si>
  <si>
    <t>ΔREV/Ait-1</t>
  </si>
  <si>
    <t>PPE/Ait-1</t>
  </si>
  <si>
    <t>REVit (Penjualan/Pendapatan)</t>
  </si>
  <si>
    <t>RECit (Piutang)</t>
  </si>
  <si>
    <t>NDAit</t>
  </si>
  <si>
    <t>DAit</t>
  </si>
  <si>
    <t>ß1</t>
  </si>
  <si>
    <t>ß2</t>
  </si>
  <si>
    <t>ß3</t>
  </si>
  <si>
    <t>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</si>
</sst>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Rp&quot;#,##0"/>
    <numFmt numFmtId="165" formatCode="###0.000"/>
    <numFmt numFmtId="166" formatCode="0.000"/>
    <numFmt numFmtId="167" formatCode="0.0000000"/>
    <numFmt numFmtId="168" formatCode="0.00000000"/>
    <numFmt numFmtId="169" formatCode="0.0000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9"/>
      <color indexed="8"/>
      <name val="Arial Bold"/>
    </font>
    <font>
      <b/>
      <sz val="9"/>
      <color indexed="8"/>
      <name val="Arial Bold"/>
    </font>
    <font>
      <sz val="9"/>
      <color indexed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9" fontId="0" fillId="0" borderId="1" xfId="0" applyNumberFormat="1" applyBorder="1"/>
    <xf numFmtId="0" fontId="1" fillId="5" borderId="1" xfId="0" applyFont="1" applyFill="1" applyBorder="1" applyAlignment="1">
      <alignment horizontal="center"/>
    </xf>
    <xf numFmtId="9" fontId="1" fillId="5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0" xfId="0" applyNumberFormat="1"/>
    <xf numFmtId="164" fontId="0" fillId="7" borderId="1" xfId="0" applyNumberFormat="1" applyFill="1" applyBorder="1"/>
    <xf numFmtId="164" fontId="0" fillId="0" borderId="1" xfId="0" applyNumberFormat="1" applyBorder="1"/>
    <xf numFmtId="164" fontId="1" fillId="6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166" fontId="0" fillId="0" borderId="0" xfId="0" applyNumberFormat="1"/>
    <xf numFmtId="0" fontId="0" fillId="2" borderId="0" xfId="0" applyFill="1" applyAlignment="1">
      <alignment horizontal="center"/>
    </xf>
    <xf numFmtId="164" fontId="1" fillId="3" borderId="24" xfId="0" applyNumberFormat="1" applyFont="1" applyFill="1" applyBorder="1" applyAlignment="1">
      <alignment horizontal="center" vertical="center" wrapText="1"/>
    </xf>
    <xf numFmtId="3" fontId="0" fillId="7" borderId="1" xfId="0" applyNumberFormat="1" applyFill="1" applyBorder="1"/>
    <xf numFmtId="3" fontId="0" fillId="0" borderId="1" xfId="0" applyNumberFormat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/>
    </xf>
    <xf numFmtId="164" fontId="0" fillId="2" borderId="1" xfId="0" applyNumberFormat="1" applyFill="1" applyBorder="1"/>
    <xf numFmtId="164" fontId="9" fillId="2" borderId="1" xfId="0" applyNumberFormat="1" applyFont="1" applyFill="1" applyBorder="1"/>
    <xf numFmtId="0" fontId="9" fillId="2" borderId="1" xfId="0" applyFont="1" applyFill="1" applyBorder="1"/>
    <xf numFmtId="0" fontId="4" fillId="0" borderId="0" xfId="1"/>
    <xf numFmtId="0" fontId="7" fillId="0" borderId="5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7" fillId="0" borderId="3" xfId="1" applyFont="1" applyBorder="1" applyAlignment="1">
      <alignment horizontal="left" vertical="top" wrapText="1"/>
    </xf>
    <xf numFmtId="165" fontId="7" fillId="0" borderId="13" xfId="1" applyNumberFormat="1" applyFont="1" applyBorder="1" applyAlignment="1">
      <alignment horizontal="right" vertical="center"/>
    </xf>
    <xf numFmtId="165" fontId="7" fillId="0" borderId="14" xfId="1" applyNumberFormat="1" applyFont="1" applyBorder="1" applyAlignment="1">
      <alignment horizontal="right" vertical="center"/>
    </xf>
    <xf numFmtId="0" fontId="7" fillId="0" borderId="14" xfId="1" applyFont="1" applyBorder="1" applyAlignment="1">
      <alignment horizontal="left" vertical="center" wrapText="1"/>
    </xf>
    <xf numFmtId="165" fontId="7" fillId="0" borderId="15" xfId="1" applyNumberFormat="1" applyFont="1" applyBorder="1" applyAlignment="1">
      <alignment horizontal="right" vertical="center"/>
    </xf>
    <xf numFmtId="0" fontId="7" fillId="0" borderId="17" xfId="1" applyFont="1" applyBorder="1" applyAlignment="1">
      <alignment horizontal="left" vertical="top" wrapText="1"/>
    </xf>
    <xf numFmtId="165" fontId="7" fillId="0" borderId="18" xfId="1" applyNumberFormat="1" applyFont="1" applyBorder="1" applyAlignment="1">
      <alignment horizontal="right" vertical="center"/>
    </xf>
    <xf numFmtId="165" fontId="7" fillId="0" borderId="19" xfId="1" applyNumberFormat="1" applyFont="1" applyBorder="1" applyAlignment="1">
      <alignment horizontal="right" vertical="center"/>
    </xf>
    <xf numFmtId="165" fontId="7" fillId="0" borderId="20" xfId="1" applyNumberFormat="1" applyFont="1" applyBorder="1" applyAlignment="1">
      <alignment horizontal="right" vertical="center"/>
    </xf>
    <xf numFmtId="0" fontId="7" fillId="0" borderId="8" xfId="1" applyFont="1" applyBorder="1" applyAlignment="1">
      <alignment horizontal="left" vertical="top" wrapText="1"/>
    </xf>
    <xf numFmtId="165" fontId="7" fillId="0" borderId="21" xfId="1" applyNumberFormat="1" applyFont="1" applyBorder="1" applyAlignment="1">
      <alignment horizontal="right" vertical="center"/>
    </xf>
    <xf numFmtId="165" fontId="7" fillId="0" borderId="22" xfId="1" applyNumberFormat="1" applyFont="1" applyBorder="1" applyAlignment="1">
      <alignment horizontal="right" vertical="center"/>
    </xf>
    <xf numFmtId="165" fontId="7" fillId="0" borderId="23" xfId="1" applyNumberFormat="1" applyFont="1" applyBorder="1" applyAlignment="1">
      <alignment horizontal="right" vertical="center"/>
    </xf>
    <xf numFmtId="0" fontId="10" fillId="0" borderId="1" xfId="0" applyFont="1" applyBorder="1"/>
    <xf numFmtId="0" fontId="0" fillId="0" borderId="25" xfId="0" applyBorder="1"/>
    <xf numFmtId="165" fontId="11" fillId="0" borderId="1" xfId="1" applyNumberFormat="1" applyFont="1" applyBorder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0" xfId="0" applyFill="1"/>
    <xf numFmtId="0" fontId="9" fillId="0" borderId="0" xfId="0" applyFont="1"/>
    <xf numFmtId="165" fontId="11" fillId="2" borderId="1" xfId="1" applyNumberFormat="1" applyFont="1" applyFill="1" applyBorder="1" applyAlignment="1">
      <alignment horizontal="right" vertical="center"/>
    </xf>
    <xf numFmtId="0" fontId="10" fillId="2" borderId="1" xfId="0" applyFont="1" applyFill="1" applyBorder="1"/>
    <xf numFmtId="9" fontId="0" fillId="2" borderId="1" xfId="0" applyNumberFormat="1" applyFill="1" applyBorder="1"/>
    <xf numFmtId="166" fontId="0" fillId="2" borderId="0" xfId="0" applyNumberFormat="1" applyFill="1"/>
    <xf numFmtId="169" fontId="0" fillId="0" borderId="1" xfId="0" applyNumberFormat="1" applyBorder="1"/>
    <xf numFmtId="9" fontId="1" fillId="6" borderId="1" xfId="0" applyNumberFormat="1" applyFont="1" applyFill="1" applyBorder="1" applyAlignment="1">
      <alignment horizontal="center"/>
    </xf>
    <xf numFmtId="167" fontId="0" fillId="0" borderId="1" xfId="0" applyNumberFormat="1" applyBorder="1"/>
    <xf numFmtId="167" fontId="0" fillId="2" borderId="1" xfId="0" applyNumberFormat="1" applyFill="1" applyBorder="1"/>
    <xf numFmtId="168" fontId="0" fillId="0" borderId="1" xfId="0" applyNumberFormat="1" applyBorder="1"/>
    <xf numFmtId="168" fontId="0" fillId="2" borderId="1" xfId="0" applyNumberFormat="1" applyFill="1" applyBorder="1"/>
    <xf numFmtId="0" fontId="1" fillId="3" borderId="1" xfId="0" applyFont="1" applyFill="1" applyBorder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left" wrapText="1"/>
    </xf>
    <xf numFmtId="0" fontId="7" fillId="0" borderId="3" xfId="1" applyFont="1" applyBorder="1" applyAlignment="1">
      <alignment horizontal="left" wrapText="1"/>
    </xf>
    <xf numFmtId="0" fontId="7" fillId="0" borderId="7" xfId="1" applyFont="1" applyBorder="1" applyAlignment="1">
      <alignment horizontal="left" wrapText="1"/>
    </xf>
    <xf numFmtId="0" fontId="7" fillId="0" borderId="8" xfId="1" applyFont="1" applyBorder="1" applyAlignment="1">
      <alignment horizontal="left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7" fillId="0" borderId="6" xfId="1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7" fillId="0" borderId="12" xfId="1" applyFont="1" applyBorder="1" applyAlignment="1">
      <alignment horizontal="left" vertical="top"/>
    </xf>
    <xf numFmtId="0" fontId="7" fillId="0" borderId="16" xfId="1" applyFont="1" applyBorder="1" applyAlignment="1">
      <alignment horizontal="left" vertical="top" wrapText="1"/>
    </xf>
    <xf numFmtId="0" fontId="7" fillId="0" borderId="7" xfId="1" applyFont="1" applyBorder="1" applyAlignment="1">
      <alignment horizontal="left" vertical="top" wrapText="1"/>
    </xf>
    <xf numFmtId="0" fontId="2" fillId="4" borderId="25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/>
    </xf>
  </cellXfs>
  <cellStyles count="2">
    <cellStyle name="Normal" xfId="0" builtinId="0"/>
    <cellStyle name="Normal_koefisien +sampel" xfId="1" xr:uid="{9FA8B50D-2531-4B9A-BC58-0B3E266CDB61}"/>
  </cellStyles>
  <dxfs count="0"/>
  <tableStyles count="0" defaultTableStyle="TableStyleMedium2" defaultPivotStyle="PivotStyleLight16"/>
  <colors>
    <mruColors>
      <color rgb="FFFF9B9B"/>
      <color rgb="FFCC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microsoft.com/office/2017/10/relationships/person" Target="persons/person9.xml"/><Relationship Id="rId39" Type="http://schemas.microsoft.com/office/2017/10/relationships/person" Target="persons/person17.xml"/><Relationship Id="rId34" Type="http://schemas.microsoft.com/office/2017/10/relationships/person" Target="persons/person7.xml"/><Relationship Id="rId42" Type="http://schemas.microsoft.com/office/2017/10/relationships/person" Target="persons/person21.xml"/><Relationship Id="rId47" Type="http://schemas.microsoft.com/office/2017/10/relationships/person" Target="persons/person25.xml"/><Relationship Id="rId50" Type="http://schemas.microsoft.com/office/2017/10/relationships/person" Target="persons/person29.xml"/><Relationship Id="rId55" Type="http://schemas.microsoft.com/office/2017/10/relationships/person" Target="persons/person3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34.xml"/><Relationship Id="rId29" Type="http://schemas.microsoft.com/office/2017/10/relationships/person" Target="persons/person2.xml"/><Relationship Id="rId11" Type="http://schemas.microsoft.com/office/2017/10/relationships/person" Target="persons/person.xml"/><Relationship Id="rId40" Type="http://schemas.microsoft.com/office/2017/10/relationships/person" Target="persons/person19.xml"/><Relationship Id="rId24" Type="http://schemas.microsoft.com/office/2017/10/relationships/person" Target="persons/person6.xml"/><Relationship Id="rId32" Type="http://schemas.microsoft.com/office/2017/10/relationships/person" Target="persons/person3.xml"/><Relationship Id="rId37" Type="http://schemas.microsoft.com/office/2017/10/relationships/person" Target="persons/person14.xml"/><Relationship Id="rId45" Type="http://schemas.microsoft.com/office/2017/10/relationships/person" Target="persons/person23.xml"/><Relationship Id="rId53" Type="http://schemas.microsoft.com/office/2017/10/relationships/person" Target="persons/person32.xml"/><Relationship Id="rId58" Type="http://schemas.microsoft.com/office/2017/10/relationships/person" Target="persons/person38.xml"/><Relationship Id="rId5" Type="http://schemas.openxmlformats.org/officeDocument/2006/relationships/worksheet" Target="worksheets/sheet5.xml"/><Relationship Id="rId28" Type="http://schemas.microsoft.com/office/2017/10/relationships/person" Target="persons/person13.xml"/><Relationship Id="rId23" Type="http://schemas.microsoft.com/office/2017/10/relationships/person" Target="persons/person0.xml"/><Relationship Id="rId36" Type="http://schemas.microsoft.com/office/2017/10/relationships/person" Target="persons/person4.xml"/><Relationship Id="rId49" Type="http://schemas.microsoft.com/office/2017/10/relationships/person" Target="persons/person27.xml"/><Relationship Id="rId57" Type="http://schemas.microsoft.com/office/2017/10/relationships/person" Target="persons/person36.xml"/><Relationship Id="rId10" Type="http://schemas.openxmlformats.org/officeDocument/2006/relationships/calcChain" Target="calcChain.xml"/><Relationship Id="rId31" Type="http://schemas.microsoft.com/office/2017/10/relationships/person" Target="persons/person5.xml"/><Relationship Id="rId44" Type="http://schemas.microsoft.com/office/2017/10/relationships/person" Target="persons/person22.xml"/><Relationship Id="rId52" Type="http://schemas.microsoft.com/office/2017/10/relationships/person" Target="persons/person3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56" Type="http://schemas.microsoft.com/office/2017/10/relationships/person" Target="persons/person37.xml"/><Relationship Id="rId48" Type="http://schemas.microsoft.com/office/2017/10/relationships/person" Target="persons/person28.xml"/><Relationship Id="rId43" Type="http://schemas.microsoft.com/office/2017/10/relationships/person" Target="persons/person24.xml"/><Relationship Id="rId35" Type="http://schemas.microsoft.com/office/2017/10/relationships/person" Target="persons/person16.xml"/><Relationship Id="rId27" Type="http://schemas.microsoft.com/office/2017/10/relationships/person" Target="persons/person11.xml"/><Relationship Id="rId30" Type="http://schemas.microsoft.com/office/2017/10/relationships/person" Target="persons/person10.xml"/><Relationship Id="rId22" Type="http://schemas.microsoft.com/office/2017/10/relationships/person" Target="persons/person1.xml"/><Relationship Id="rId8" Type="http://schemas.openxmlformats.org/officeDocument/2006/relationships/styles" Target="styles.xml"/><Relationship Id="rId51" Type="http://schemas.microsoft.com/office/2017/10/relationships/person" Target="persons/person35.xml"/><Relationship Id="rId3" Type="http://schemas.openxmlformats.org/officeDocument/2006/relationships/worksheet" Target="worksheets/sheet3.xml"/><Relationship Id="rId46" Type="http://schemas.microsoft.com/office/2017/10/relationships/person" Target="persons/person26.xml"/><Relationship Id="rId25" Type="http://schemas.microsoft.com/office/2017/10/relationships/person" Target="persons/person8.xml"/><Relationship Id="rId33" Type="http://schemas.microsoft.com/office/2017/10/relationships/person" Target="persons/person12.xml"/><Relationship Id="rId38" Type="http://schemas.microsoft.com/office/2017/10/relationships/person" Target="persons/person15.xml"/><Relationship Id="rId54" Type="http://schemas.microsoft.com/office/2017/10/relationships/person" Target="persons/person30.xml"/><Relationship Id="rId20" Type="http://schemas.microsoft.com/office/2017/10/relationships/person" Target="persons/person20.xml"/><Relationship Id="rId41" Type="http://schemas.microsoft.com/office/2017/10/relationships/person" Target="persons/person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384544</xdr:colOff>
      <xdr:row>2</xdr:row>
      <xdr:rowOff>80299</xdr:rowOff>
    </xdr:from>
    <xdr:to>
      <xdr:col>28</xdr:col>
      <xdr:colOff>302713</xdr:colOff>
      <xdr:row>24</xdr:row>
      <xdr:rowOff>77993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1C9F1D-8816-4DCE-89EC-F51F98D8C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11459" y="816629"/>
          <a:ext cx="2350084" cy="40103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324883</xdr:rowOff>
    </xdr:from>
    <xdr:to>
      <xdr:col>10</xdr:col>
      <xdr:colOff>574578</xdr:colOff>
      <xdr:row>5</xdr:row>
      <xdr:rowOff>157607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0A3351-1B82-66F7-3FBB-CC83F3309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54826" y="509476"/>
          <a:ext cx="2413124" cy="7556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863315</xdr:colOff>
      <xdr:row>2</xdr:row>
      <xdr:rowOff>49944</xdr:rowOff>
    </xdr:from>
    <xdr:to>
      <xdr:col>10</xdr:col>
      <xdr:colOff>50061</xdr:colOff>
      <xdr:row>5</xdr:row>
      <xdr:rowOff>121293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CBE573-3C5E-4288-9E2E-C4000FAD6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0618" y="399551"/>
          <a:ext cx="2147701" cy="6278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</xdr:row>
      <xdr:rowOff>0</xdr:rowOff>
    </xdr:from>
    <xdr:to>
      <xdr:col>12</xdr:col>
      <xdr:colOff>225144</xdr:colOff>
      <xdr:row>7</xdr:row>
      <xdr:rowOff>141111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1D0B3F8-E43C-4169-8BB6-C37815463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0" y="733778"/>
          <a:ext cx="2652255" cy="6914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273051</xdr:colOff>
      <xdr:row>2</xdr:row>
      <xdr:rowOff>158750</xdr:rowOff>
    </xdr:from>
    <xdr:to>
      <xdr:col>7</xdr:col>
      <xdr:colOff>679657</xdr:colOff>
      <xdr:row>5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CFE61B-0FFC-3A66-26A5-C5B1730F5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7101" y="527050"/>
          <a:ext cx="1936956" cy="4572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15.xml><?xml version="1.0" encoding="utf-8"?>
<personList xmlns="http://schemas.microsoft.com/office/spreadsheetml/2018/threadedcomments" xmlns:x="http://schemas.openxmlformats.org/spreadsheetml/2006/main"/>
</file>

<file path=xl/persons/person16.xml><?xml version="1.0" encoding="utf-8"?>
<personList xmlns="http://schemas.microsoft.com/office/spreadsheetml/2018/threadedcomments" xmlns:x="http://schemas.openxmlformats.org/spreadsheetml/2006/main"/>
</file>

<file path=xl/persons/person17.xml><?xml version="1.0" encoding="utf-8"?>
<personList xmlns="http://schemas.microsoft.com/office/spreadsheetml/2018/threadedcomments" xmlns:x="http://schemas.openxmlformats.org/spreadsheetml/2006/main"/>
</file>

<file path=xl/persons/person18.xml><?xml version="1.0" encoding="utf-8"?>
<personList xmlns="http://schemas.microsoft.com/office/spreadsheetml/2018/threadedcomments" xmlns:x="http://schemas.openxmlformats.org/spreadsheetml/2006/main"/>
</file>

<file path=xl/persons/person19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20.xml><?xml version="1.0" encoding="utf-8"?>
<personList xmlns="http://schemas.microsoft.com/office/spreadsheetml/2018/threadedcomments" xmlns:x="http://schemas.openxmlformats.org/spreadsheetml/2006/main"/>
</file>

<file path=xl/persons/person21.xml><?xml version="1.0" encoding="utf-8"?>
<personList xmlns="http://schemas.microsoft.com/office/spreadsheetml/2018/threadedcomments" xmlns:x="http://schemas.openxmlformats.org/spreadsheetml/2006/main"/>
</file>

<file path=xl/persons/person22.xml><?xml version="1.0" encoding="utf-8"?>
<personList xmlns="http://schemas.microsoft.com/office/spreadsheetml/2018/threadedcomments" xmlns:x="http://schemas.openxmlformats.org/spreadsheetml/2006/main"/>
</file>

<file path=xl/persons/person23.xml><?xml version="1.0" encoding="utf-8"?>
<personList xmlns="http://schemas.microsoft.com/office/spreadsheetml/2018/threadedcomments" xmlns:x="http://schemas.openxmlformats.org/spreadsheetml/2006/main"/>
</file>

<file path=xl/persons/person24.xml><?xml version="1.0" encoding="utf-8"?>
<personList xmlns="http://schemas.microsoft.com/office/spreadsheetml/2018/threadedcomments" xmlns:x="http://schemas.openxmlformats.org/spreadsheetml/2006/main"/>
</file>

<file path=xl/persons/person25.xml><?xml version="1.0" encoding="utf-8"?>
<personList xmlns="http://schemas.microsoft.com/office/spreadsheetml/2018/threadedcomments" xmlns:x="http://schemas.openxmlformats.org/spreadsheetml/2006/main"/>
</file>

<file path=xl/persons/person26.xml><?xml version="1.0" encoding="utf-8"?>
<personList xmlns="http://schemas.microsoft.com/office/spreadsheetml/2018/threadedcomments" xmlns:x="http://schemas.openxmlformats.org/spreadsheetml/2006/main"/>
</file>

<file path=xl/persons/person27.xml><?xml version="1.0" encoding="utf-8"?>
<personList xmlns="http://schemas.microsoft.com/office/spreadsheetml/2018/threadedcomments" xmlns:x="http://schemas.openxmlformats.org/spreadsheetml/2006/main"/>
</file>

<file path=xl/persons/person28.xml><?xml version="1.0" encoding="utf-8"?>
<personList xmlns="http://schemas.microsoft.com/office/spreadsheetml/2018/threadedcomments" xmlns:x="http://schemas.openxmlformats.org/spreadsheetml/2006/main"/>
</file>

<file path=xl/persons/person29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30.xml><?xml version="1.0" encoding="utf-8"?>
<personList xmlns="http://schemas.microsoft.com/office/spreadsheetml/2018/threadedcomments" xmlns:x="http://schemas.openxmlformats.org/spreadsheetml/2006/main"/>
</file>

<file path=xl/persons/person31.xml><?xml version="1.0" encoding="utf-8"?>
<personList xmlns="http://schemas.microsoft.com/office/spreadsheetml/2018/threadedcomments" xmlns:x="http://schemas.openxmlformats.org/spreadsheetml/2006/main"/>
</file>

<file path=xl/persons/person32.xml><?xml version="1.0" encoding="utf-8"?>
<personList xmlns="http://schemas.microsoft.com/office/spreadsheetml/2018/threadedcomments" xmlns:x="http://schemas.openxmlformats.org/spreadsheetml/2006/main"/>
</file>

<file path=xl/persons/person33.xml><?xml version="1.0" encoding="utf-8"?>
<personList xmlns="http://schemas.microsoft.com/office/spreadsheetml/2018/threadedcomments" xmlns:x="http://schemas.openxmlformats.org/spreadsheetml/2006/main"/>
</file>

<file path=xl/persons/person34.xml><?xml version="1.0" encoding="utf-8"?>
<personList xmlns="http://schemas.microsoft.com/office/spreadsheetml/2018/threadedcomments" xmlns:x="http://schemas.openxmlformats.org/spreadsheetml/2006/main"/>
</file>

<file path=xl/persons/person35.xml><?xml version="1.0" encoding="utf-8"?>
<personList xmlns="http://schemas.microsoft.com/office/spreadsheetml/2018/threadedcomments" xmlns:x="http://schemas.openxmlformats.org/spreadsheetml/2006/main"/>
</file>

<file path=xl/persons/person36.xml><?xml version="1.0" encoding="utf-8"?>
<personList xmlns="http://schemas.microsoft.com/office/spreadsheetml/2018/threadedcomments" xmlns:x="http://schemas.openxmlformats.org/spreadsheetml/2006/main"/>
</file>

<file path=xl/persons/person37.xml><?xml version="1.0" encoding="utf-8"?>
<personList xmlns="http://schemas.microsoft.com/office/spreadsheetml/2018/threadedcomments" xmlns:x="http://schemas.openxmlformats.org/spreadsheetml/2006/main"/>
</file>

<file path=xl/persons/person38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A14AB-97E7-499B-BF08-3D6BB8BC8E51}">
  <dimension ref="A1:X202"/>
  <sheetViews>
    <sheetView tabSelected="1" zoomScale="94" zoomScaleNormal="94" workbookViewId="0">
      <pane xSplit="3100" ySplit="1370" topLeftCell="D4" activePane="bottomRight"/>
      <selection pane="topRight" activeCell="F2" sqref="F2"/>
      <selection pane="bottomLeft" activeCell="A138" sqref="A138:XFD138"/>
      <selection pane="bottomRight" activeCell="AC11" sqref="AC11"/>
    </sheetView>
  </sheetViews>
  <sheetFormatPr defaultRowHeight="14.5" x14ac:dyDescent="0.35"/>
  <cols>
    <col min="4" max="5" width="21.6328125" customWidth="1"/>
    <col min="6" max="6" width="21.7265625" style="14" customWidth="1"/>
    <col min="7" max="7" width="21.54296875" customWidth="1"/>
    <col min="8" max="9" width="17.81640625" customWidth="1"/>
    <col min="10" max="10" width="21.26953125" customWidth="1"/>
    <col min="11" max="11" width="17.81640625" customWidth="1"/>
    <col min="12" max="12" width="21.36328125" customWidth="1"/>
    <col min="13" max="13" width="17.81640625" customWidth="1"/>
    <col min="14" max="14" width="18.08984375" customWidth="1"/>
    <col min="15" max="16" width="11.6328125" customWidth="1"/>
    <col min="17" max="17" width="20" customWidth="1"/>
    <col min="18" max="19" width="17.81640625" customWidth="1"/>
    <col min="20" max="20" width="15.90625" customWidth="1"/>
    <col min="21" max="21" width="5.6328125" customWidth="1"/>
  </cols>
  <sheetData>
    <row r="1" spans="1:24" x14ac:dyDescent="0.35">
      <c r="H1" s="27" t="s">
        <v>60</v>
      </c>
      <c r="I1" s="27" t="s">
        <v>63</v>
      </c>
      <c r="K1" s="27" t="s">
        <v>64</v>
      </c>
      <c r="M1" s="27" t="s">
        <v>90</v>
      </c>
    </row>
    <row r="2" spans="1:24" ht="43.5" x14ac:dyDescent="0.35">
      <c r="A2" s="24" t="s">
        <v>2</v>
      </c>
      <c r="B2" s="24" t="s">
        <v>0</v>
      </c>
      <c r="C2" s="24" t="s">
        <v>1</v>
      </c>
      <c r="D2" s="25" t="s">
        <v>58</v>
      </c>
      <c r="E2" s="25" t="s">
        <v>59</v>
      </c>
      <c r="F2" s="28" t="s">
        <v>33</v>
      </c>
      <c r="G2" s="25" t="s">
        <v>78</v>
      </c>
      <c r="H2" s="25" t="s">
        <v>79</v>
      </c>
      <c r="I2" s="25" t="s">
        <v>80</v>
      </c>
      <c r="J2" s="25" t="s">
        <v>83</v>
      </c>
      <c r="K2" s="25" t="s">
        <v>81</v>
      </c>
      <c r="L2" s="25" t="s">
        <v>34</v>
      </c>
      <c r="M2" s="25" t="s">
        <v>82</v>
      </c>
      <c r="N2" s="25" t="s">
        <v>87</v>
      </c>
      <c r="O2" s="25" t="s">
        <v>88</v>
      </c>
      <c r="P2" s="25" t="s">
        <v>89</v>
      </c>
      <c r="Q2" s="25" t="s">
        <v>84</v>
      </c>
      <c r="R2" s="25" t="s">
        <v>85</v>
      </c>
      <c r="S2" s="25" t="s">
        <v>86</v>
      </c>
      <c r="U2" s="72" t="s">
        <v>2</v>
      </c>
      <c r="V2" s="72" t="s">
        <v>0</v>
      </c>
      <c r="W2" s="72" t="s">
        <v>1</v>
      </c>
      <c r="X2" s="72" t="s">
        <v>86</v>
      </c>
    </row>
    <row r="3" spans="1:24" x14ac:dyDescent="0.35">
      <c r="A3" s="6">
        <v>1</v>
      </c>
      <c r="B3" s="7" t="s">
        <v>3</v>
      </c>
      <c r="C3" s="8">
        <v>2018</v>
      </c>
      <c r="D3" s="15"/>
      <c r="E3" s="15"/>
      <c r="F3" s="16"/>
      <c r="G3" s="16">
        <v>26856967000000</v>
      </c>
      <c r="H3" s="4" t="s">
        <v>61</v>
      </c>
      <c r="I3" s="4"/>
      <c r="J3" s="15">
        <v>19084387000000</v>
      </c>
      <c r="K3" s="4"/>
      <c r="L3" s="15">
        <v>10219013000000</v>
      </c>
      <c r="M3" s="54"/>
      <c r="N3" s="55">
        <v>-2647819222.08285</v>
      </c>
      <c r="O3" s="53">
        <v>9.5000000000000001E-2</v>
      </c>
      <c r="P3" s="53">
        <v>-3.5000000000000003E-2</v>
      </c>
      <c r="Q3" s="15">
        <f>41375000000+5430000000</f>
        <v>46805000000</v>
      </c>
      <c r="R3" s="4"/>
      <c r="S3" s="4"/>
      <c r="U3" s="2">
        <v>1</v>
      </c>
      <c r="V3" s="3" t="s">
        <v>3</v>
      </c>
      <c r="W3" s="5">
        <v>2019</v>
      </c>
      <c r="X3" s="4">
        <v>-1.9140509454322122E-2</v>
      </c>
    </row>
    <row r="4" spans="1:24" x14ac:dyDescent="0.35">
      <c r="A4" s="6">
        <v>2</v>
      </c>
      <c r="B4" s="7"/>
      <c r="C4" s="8">
        <v>2019</v>
      </c>
      <c r="D4" s="16">
        <v>243629000000</v>
      </c>
      <c r="E4" s="16">
        <v>1292353000000</v>
      </c>
      <c r="F4" s="16">
        <f>D4-E4</f>
        <v>-1048724000000</v>
      </c>
      <c r="G4" s="16">
        <v>26974124000000</v>
      </c>
      <c r="H4" s="4">
        <f>F4/G3</f>
        <v>-3.9048489727079014E-2</v>
      </c>
      <c r="I4" s="4">
        <f>1/G3</f>
        <v>3.7234286358545253E-14</v>
      </c>
      <c r="J4" s="16">
        <v>17452736000000</v>
      </c>
      <c r="K4" s="4">
        <f>(J4-J3)/G3</f>
        <v>-6.075336057120672E-2</v>
      </c>
      <c r="L4" s="16">
        <v>9841623000000</v>
      </c>
      <c r="M4" s="4">
        <f>L4/G3</f>
        <v>0.36644580901484519</v>
      </c>
      <c r="N4" s="55">
        <v>-2647819222.08285</v>
      </c>
      <c r="O4" s="53">
        <v>9.5000000000000001E-2</v>
      </c>
      <c r="P4" s="53">
        <v>-3.5000000000000003E-2</v>
      </c>
      <c r="Q4" s="16">
        <f>384290000000+5215000000</f>
        <v>389505000000</v>
      </c>
      <c r="R4" s="4">
        <f>SUM((N4*I4)+(O4*(((J4-J3)-(Q4-Q3))/G3))+(P4*M4))</f>
        <v>-1.9907980272756892E-2</v>
      </c>
      <c r="S4" s="4">
        <f>SUM(H4-R4)</f>
        <v>-1.9140509454322122E-2</v>
      </c>
      <c r="U4" s="2">
        <v>2</v>
      </c>
      <c r="V4" s="4"/>
      <c r="W4" s="2">
        <v>2020</v>
      </c>
      <c r="X4" s="4">
        <v>-4.430794604406494E-2</v>
      </c>
    </row>
    <row r="5" spans="1:24" x14ac:dyDescent="0.35">
      <c r="A5" s="6">
        <v>3</v>
      </c>
      <c r="B5" s="9"/>
      <c r="C5" s="6">
        <v>2020</v>
      </c>
      <c r="D5" s="16">
        <v>893779000000</v>
      </c>
      <c r="E5" s="16">
        <v>2322164000000</v>
      </c>
      <c r="F5" s="16">
        <f t="shared" ref="F5:F7" si="0">D5-E5</f>
        <v>-1428385000000</v>
      </c>
      <c r="G5" s="16">
        <v>27781231000000</v>
      </c>
      <c r="H5" s="4">
        <f t="shared" ref="H5:H7" si="1">F5/G4</f>
        <v>-5.295389759459844E-2</v>
      </c>
      <c r="I5" s="4">
        <f t="shared" ref="I5:I7" si="2">1/G4</f>
        <v>3.7072566286119243E-14</v>
      </c>
      <c r="J5" s="16">
        <v>18807043000000</v>
      </c>
      <c r="K5" s="4">
        <f>(J5-J4)/G4</f>
        <v>5.02076360292553E-2</v>
      </c>
      <c r="L5" s="16">
        <v>9242161000000</v>
      </c>
      <c r="M5" s="4">
        <f t="shared" ref="M5:M7" si="3">L5/G4</f>
        <v>0.34263062629948615</v>
      </c>
      <c r="N5" s="55">
        <v>-2647819222.08285</v>
      </c>
      <c r="O5" s="53">
        <v>9.5000000000000001E-2</v>
      </c>
      <c r="P5" s="53">
        <v>-3.5000000000000003E-2</v>
      </c>
      <c r="Q5" s="16">
        <f>391189000000+374660000000</f>
        <v>765849000000</v>
      </c>
      <c r="R5" s="4">
        <f t="shared" ref="R5:R6" si="4">SUM((N5*I5)+(O5*(((J5-J4)-(Q5-Q4))/G4))+(P5*M5))</f>
        <v>-8.6459515505335014E-3</v>
      </c>
      <c r="S5" s="4">
        <f t="shared" ref="S5:S7" si="5">SUM(H5-R5)</f>
        <v>-4.430794604406494E-2</v>
      </c>
      <c r="U5" s="2">
        <v>3</v>
      </c>
      <c r="V5" s="4"/>
      <c r="W5" s="2">
        <v>2021</v>
      </c>
      <c r="X5" s="4">
        <v>-0.11004694539194168</v>
      </c>
    </row>
    <row r="6" spans="1:24" x14ac:dyDescent="0.35">
      <c r="A6" s="6">
        <v>4</v>
      </c>
      <c r="B6" s="9"/>
      <c r="C6" s="6">
        <v>2021</v>
      </c>
      <c r="D6" s="16">
        <v>2067362000000</v>
      </c>
      <c r="E6" s="16">
        <v>4895119000000</v>
      </c>
      <c r="F6" s="16">
        <f t="shared" si="0"/>
        <v>-2827757000000</v>
      </c>
      <c r="G6" s="16">
        <v>30399906000000</v>
      </c>
      <c r="H6" s="4">
        <f t="shared" si="1"/>
        <v>-0.10178659829724608</v>
      </c>
      <c r="I6" s="4">
        <f t="shared" si="2"/>
        <v>3.5995525180291688E-14</v>
      </c>
      <c r="J6" s="16">
        <v>24322048000000</v>
      </c>
      <c r="K6" s="4">
        <f t="shared" ref="K6:K7" si="6">(J6-J5)/G5</f>
        <v>0.19851550134693455</v>
      </c>
      <c r="L6" s="16">
        <v>9172225000000</v>
      </c>
      <c r="M6" s="4">
        <f t="shared" si="3"/>
        <v>0.33015905594680089</v>
      </c>
      <c r="N6" s="55">
        <v>-2647819222.08285</v>
      </c>
      <c r="O6" s="53">
        <v>9.5000000000000001E-2</v>
      </c>
      <c r="P6" s="53">
        <v>-3.5000000000000003E-2</v>
      </c>
      <c r="Q6" s="16">
        <f>236336000000+221799000000</f>
        <v>458135000000</v>
      </c>
      <c r="R6" s="4">
        <f t="shared" si="4"/>
        <v>8.2603470946955946E-3</v>
      </c>
      <c r="S6" s="4">
        <f t="shared" si="5"/>
        <v>-0.11004694539194168</v>
      </c>
      <c r="U6" s="2">
        <v>4</v>
      </c>
      <c r="V6" s="4"/>
      <c r="W6" s="2">
        <v>2022</v>
      </c>
      <c r="X6" s="4">
        <v>1.8156553649280462E-2</v>
      </c>
    </row>
    <row r="7" spans="1:24" x14ac:dyDescent="0.35">
      <c r="A7" s="6">
        <v>5</v>
      </c>
      <c r="B7" s="9"/>
      <c r="C7" s="6">
        <v>2022</v>
      </c>
      <c r="D7" s="16">
        <v>1792050000000</v>
      </c>
      <c r="E7" s="16">
        <v>1835397000000</v>
      </c>
      <c r="F7" s="16">
        <f t="shared" si="0"/>
        <v>-43347000000</v>
      </c>
      <c r="G7" s="16">
        <v>29249340000000</v>
      </c>
      <c r="H7" s="4">
        <f t="shared" si="1"/>
        <v>-1.4258925669046476E-3</v>
      </c>
      <c r="I7" s="4">
        <f t="shared" si="2"/>
        <v>3.2894838556408694E-14</v>
      </c>
      <c r="J7" s="16">
        <v>21828591000000</v>
      </c>
      <c r="K7" s="4">
        <f t="shared" si="6"/>
        <v>-8.202186546234716E-2</v>
      </c>
      <c r="L7" s="16">
        <v>9104799000000</v>
      </c>
      <c r="M7" s="4">
        <f t="shared" si="3"/>
        <v>0.29950089319355133</v>
      </c>
      <c r="N7" s="55">
        <v>-2647819222.08285</v>
      </c>
      <c r="O7" s="53">
        <v>9.5000000000000001E-2</v>
      </c>
      <c r="P7" s="53">
        <v>-3.5000000000000003E-2</v>
      </c>
      <c r="Q7" s="16">
        <f>484846000000+363924000000</f>
        <v>848770000000</v>
      </c>
      <c r="R7" s="4">
        <f>SUM((N7*I7)+(O7*(((J7-J6)-(Q7-Q6))/G6))+(P7*M7))</f>
        <v>-1.9582446216185108E-2</v>
      </c>
      <c r="S7" s="4">
        <f t="shared" si="5"/>
        <v>1.8156553649280462E-2</v>
      </c>
      <c r="U7" s="2">
        <v>5</v>
      </c>
      <c r="V7" s="3" t="s">
        <v>4</v>
      </c>
      <c r="W7" s="5">
        <v>2019</v>
      </c>
      <c r="X7" s="4">
        <v>3.2737022180457667E-2</v>
      </c>
    </row>
    <row r="8" spans="1:24" x14ac:dyDescent="0.35">
      <c r="A8" s="6">
        <v>6</v>
      </c>
      <c r="B8" s="7" t="s">
        <v>4</v>
      </c>
      <c r="C8" s="8">
        <v>2018</v>
      </c>
      <c r="D8" s="15"/>
      <c r="E8" s="15"/>
      <c r="F8" s="16"/>
      <c r="G8" s="16">
        <v>881275000000</v>
      </c>
      <c r="H8" s="4"/>
      <c r="I8" s="4"/>
      <c r="J8" s="15">
        <v>804302000000</v>
      </c>
      <c r="K8" s="4"/>
      <c r="L8" s="15">
        <v>447249000000</v>
      </c>
      <c r="M8" s="4"/>
      <c r="N8" s="55">
        <v>-2647819222.08285</v>
      </c>
      <c r="O8" s="53">
        <v>9.5000000000000001E-2</v>
      </c>
      <c r="P8" s="53">
        <v>-3.5000000000000003E-2</v>
      </c>
      <c r="Q8" s="15">
        <v>131862000000</v>
      </c>
      <c r="R8" s="4"/>
      <c r="S8" s="4"/>
      <c r="U8" s="2">
        <v>6</v>
      </c>
      <c r="V8" s="4"/>
      <c r="W8" s="2">
        <v>2020</v>
      </c>
      <c r="X8" s="4">
        <v>-0.22005158325328122</v>
      </c>
    </row>
    <row r="9" spans="1:24" x14ac:dyDescent="0.35">
      <c r="A9" s="6">
        <v>7</v>
      </c>
      <c r="B9" s="7"/>
      <c r="C9" s="8">
        <v>2019</v>
      </c>
      <c r="D9" s="16">
        <v>83885000000</v>
      </c>
      <c r="E9" s="16">
        <v>184178000000</v>
      </c>
      <c r="F9" s="16">
        <f>D9-E9</f>
        <v>-100293000000</v>
      </c>
      <c r="G9" s="16">
        <v>822375000000</v>
      </c>
      <c r="H9" s="4">
        <f>F9/G8</f>
        <v>-0.11380443107996936</v>
      </c>
      <c r="I9" s="4">
        <f>1/G8</f>
        <v>1.1347195824231937E-12</v>
      </c>
      <c r="J9" s="16">
        <v>834330000000</v>
      </c>
      <c r="K9" s="4">
        <f>(J9-J8)/G8</f>
        <v>3.4073359621003663E-2</v>
      </c>
      <c r="L9" s="16">
        <v>405448000000</v>
      </c>
      <c r="M9" s="4">
        <f>L9/G8</f>
        <v>0.46006978525431902</v>
      </c>
      <c r="N9" s="55">
        <v>-2647819222.08285</v>
      </c>
      <c r="O9" s="53">
        <v>9.5000000000000001E-2</v>
      </c>
      <c r="P9" s="53">
        <v>-3.5000000000000003E-2</v>
      </c>
      <c r="Q9" s="16">
        <v>1344046000000</v>
      </c>
      <c r="R9" s="4">
        <f>SUM((N9*I9)+(O9*(((J9-J8)-(Q9-Q8))/G8))+(P9*M9))</f>
        <v>-0.14654145326042703</v>
      </c>
      <c r="S9" s="4">
        <f>SUM(H9-R9)</f>
        <v>3.2737022180457667E-2</v>
      </c>
      <c r="U9" s="2">
        <v>7</v>
      </c>
      <c r="V9" s="4"/>
      <c r="W9" s="2">
        <v>2021</v>
      </c>
      <c r="X9" s="4">
        <v>-4.4910799932328473E-2</v>
      </c>
    </row>
    <row r="10" spans="1:24" x14ac:dyDescent="0.35">
      <c r="A10" s="6">
        <v>8</v>
      </c>
      <c r="B10" s="9"/>
      <c r="C10" s="6">
        <v>2020</v>
      </c>
      <c r="D10" s="16">
        <v>135789000000</v>
      </c>
      <c r="E10" s="16">
        <v>230679000000</v>
      </c>
      <c r="F10" s="16">
        <f t="shared" ref="F10:F72" si="7">D10-E10</f>
        <v>-94890000000</v>
      </c>
      <c r="G10" s="16">
        <v>958791000000</v>
      </c>
      <c r="H10" s="4">
        <f t="shared" ref="H10:H12" si="8">F10/G9</f>
        <v>-0.11538531691746466</v>
      </c>
      <c r="I10" s="4">
        <f t="shared" ref="I10:I12" si="9">1/G9</f>
        <v>1.2159902720778234E-12</v>
      </c>
      <c r="J10" s="16">
        <v>673364000000</v>
      </c>
      <c r="K10" s="4">
        <f t="shared" ref="K10:K12" si="10">(J10-J9)/G9</f>
        <v>-0.19573309013527893</v>
      </c>
      <c r="L10" s="16">
        <v>351626000000</v>
      </c>
      <c r="M10" s="4">
        <f t="shared" ref="M10:M12" si="11">L10/G9</f>
        <v>0.42757379540963675</v>
      </c>
      <c r="N10" s="55">
        <v>-2647819222.08285</v>
      </c>
      <c r="O10" s="53">
        <v>9.5000000000000001E-2</v>
      </c>
      <c r="P10" s="53">
        <v>-3.5000000000000003E-2</v>
      </c>
      <c r="Q10" s="16">
        <v>119610000000</v>
      </c>
      <c r="R10" s="4">
        <f t="shared" ref="R10:R12" si="12">SUM((N10*I10)+(O10*(((J10-J9)-(Q10-Q9))/G9))+(P10*M10))</f>
        <v>0.10466626633581656</v>
      </c>
      <c r="S10" s="4">
        <f t="shared" ref="S10:S12" si="13">SUM(H10-R10)</f>
        <v>-0.22005158325328122</v>
      </c>
      <c r="U10" s="2">
        <v>8</v>
      </c>
      <c r="V10" s="4"/>
      <c r="W10" s="2">
        <v>2022</v>
      </c>
      <c r="X10" s="4">
        <v>3.7057052960401175E-2</v>
      </c>
    </row>
    <row r="11" spans="1:24" x14ac:dyDescent="0.35">
      <c r="A11" s="6">
        <v>9</v>
      </c>
      <c r="B11" s="9"/>
      <c r="C11" s="6">
        <v>2021</v>
      </c>
      <c r="D11" s="16">
        <v>265758000000</v>
      </c>
      <c r="E11" s="16">
        <v>308341000000</v>
      </c>
      <c r="F11" s="16">
        <f t="shared" si="7"/>
        <v>-42583000000</v>
      </c>
      <c r="G11" s="16">
        <v>1304108000000</v>
      </c>
      <c r="H11" s="4">
        <f t="shared" si="8"/>
        <v>-4.4413224571361223E-2</v>
      </c>
      <c r="I11" s="4">
        <f t="shared" si="9"/>
        <v>1.0429801698180313E-12</v>
      </c>
      <c r="J11" s="16">
        <v>935075000000</v>
      </c>
      <c r="K11" s="4">
        <f t="shared" si="10"/>
        <v>0.27295938322324675</v>
      </c>
      <c r="L11" s="16">
        <v>503588000000</v>
      </c>
      <c r="M11" s="4">
        <f>L11/G10</f>
        <v>0.5252322977583227</v>
      </c>
      <c r="N11" s="55">
        <v>-2647819222.08285</v>
      </c>
      <c r="O11" s="53">
        <v>9.5000000000000001E-2</v>
      </c>
      <c r="P11" s="53">
        <v>-3.5000000000000003E-2</v>
      </c>
      <c r="Q11" s="16">
        <v>162895000000</v>
      </c>
      <c r="R11" s="4">
        <f t="shared" si="12"/>
        <v>4.9757536096724925E-4</v>
      </c>
      <c r="S11" s="4">
        <f t="shared" si="13"/>
        <v>-4.4910799932328473E-2</v>
      </c>
      <c r="U11" s="2">
        <v>9</v>
      </c>
      <c r="V11" s="3" t="s">
        <v>5</v>
      </c>
      <c r="W11" s="5">
        <v>2019</v>
      </c>
      <c r="X11" s="4">
        <v>-1.4208825927543535E-2</v>
      </c>
    </row>
    <row r="12" spans="1:24" x14ac:dyDescent="0.35">
      <c r="A12" s="6">
        <v>10</v>
      </c>
      <c r="B12" s="9"/>
      <c r="C12" s="6">
        <v>2022</v>
      </c>
      <c r="D12" s="16">
        <v>364972000000</v>
      </c>
      <c r="E12" s="16">
        <v>312748000000</v>
      </c>
      <c r="F12" s="16">
        <f t="shared" si="7"/>
        <v>52224000000</v>
      </c>
      <c r="G12" s="16">
        <v>1645582000000</v>
      </c>
      <c r="H12" s="4">
        <f t="shared" si="8"/>
        <v>4.0045763080971825E-2</v>
      </c>
      <c r="I12" s="4">
        <f t="shared" si="9"/>
        <v>7.6680765703454012E-13</v>
      </c>
      <c r="J12" s="16">
        <v>1290992000000</v>
      </c>
      <c r="K12" s="4">
        <f t="shared" si="10"/>
        <v>0.2729198808687624</v>
      </c>
      <c r="L12" s="16">
        <v>708363000000</v>
      </c>
      <c r="M12" s="4">
        <f t="shared" si="11"/>
        <v>0.54317817235995791</v>
      </c>
      <c r="N12" s="55">
        <v>-2647819222.08285</v>
      </c>
      <c r="O12" s="53">
        <v>9.5000000000000001E-2</v>
      </c>
      <c r="P12" s="53">
        <v>-3.5000000000000003E-2</v>
      </c>
      <c r="Q12" s="16">
        <v>188937000000</v>
      </c>
      <c r="R12" s="4">
        <f t="shared" si="12"/>
        <v>2.9887101205706493E-3</v>
      </c>
      <c r="S12" s="4">
        <f t="shared" si="13"/>
        <v>3.7057052960401175E-2</v>
      </c>
      <c r="U12" s="2">
        <v>10</v>
      </c>
      <c r="V12" s="4"/>
      <c r="W12" s="2">
        <v>2020</v>
      </c>
      <c r="X12" s="4">
        <v>-0.13742333732438863</v>
      </c>
    </row>
    <row r="13" spans="1:24" x14ac:dyDescent="0.35">
      <c r="A13" s="6">
        <v>11</v>
      </c>
      <c r="B13" s="7" t="s">
        <v>5</v>
      </c>
      <c r="C13" s="8">
        <v>2018</v>
      </c>
      <c r="D13" s="15"/>
      <c r="E13" s="15"/>
      <c r="F13" s="16"/>
      <c r="G13" s="16">
        <v>2765010000000</v>
      </c>
      <c r="H13" s="4"/>
      <c r="I13" s="4"/>
      <c r="J13" s="15">
        <v>2265615000000</v>
      </c>
      <c r="K13" s="4"/>
      <c r="L13" s="15">
        <v>498764000000</v>
      </c>
      <c r="M13" s="4"/>
      <c r="N13" s="55">
        <v>-2647819222.08285</v>
      </c>
      <c r="O13" s="53">
        <v>9.5000000000000001E-2</v>
      </c>
      <c r="P13" s="53">
        <v>-3.5000000000000003E-2</v>
      </c>
      <c r="Q13" s="15">
        <f>915386000000+12117000000</f>
        <v>927503000000</v>
      </c>
      <c r="R13" s="4"/>
      <c r="S13" s="4"/>
      <c r="U13" s="2">
        <v>11</v>
      </c>
      <c r="V13" s="4"/>
      <c r="W13" s="2">
        <v>2021</v>
      </c>
      <c r="X13" s="4">
        <v>-9.7478781417607865E-2</v>
      </c>
    </row>
    <row r="14" spans="1:24" x14ac:dyDescent="0.35">
      <c r="A14" s="6">
        <v>12</v>
      </c>
      <c r="B14" s="7"/>
      <c r="C14" s="8">
        <v>2019</v>
      </c>
      <c r="D14" s="16">
        <v>306952000000</v>
      </c>
      <c r="E14" s="16">
        <v>370396000000</v>
      </c>
      <c r="F14" s="16">
        <f t="shared" si="7"/>
        <v>-63444000000</v>
      </c>
      <c r="G14" s="16">
        <v>2941056000000</v>
      </c>
      <c r="H14" s="4">
        <f>F14/G13</f>
        <v>-2.2945305803595648E-2</v>
      </c>
      <c r="I14" s="4">
        <f>1/G13</f>
        <v>3.6166234480164629E-13</v>
      </c>
      <c r="J14" s="16">
        <v>2272410000000</v>
      </c>
      <c r="K14" s="4">
        <f>(J14-J13)/G13</f>
        <v>2.4574956329271864E-3</v>
      </c>
      <c r="L14" s="16">
        <v>480957000000</v>
      </c>
      <c r="M14" s="4">
        <f>L14/G13</f>
        <v>0.1739440363687654</v>
      </c>
      <c r="N14" s="55">
        <v>-2647819222.08285</v>
      </c>
      <c r="O14" s="53">
        <v>9.5000000000000001E-2</v>
      </c>
      <c r="P14" s="53">
        <v>-3.5000000000000003E-2</v>
      </c>
      <c r="Q14" s="16">
        <f>971873000000+11637000000</f>
        <v>983510000000</v>
      </c>
      <c r="R14" s="4">
        <f>SUM((N14*I14)+(O14*(((J14-J13)-(Q14-Q13))/G13))+(P14*M14))</f>
        <v>-8.7364798760521129E-3</v>
      </c>
      <c r="S14" s="4">
        <f>SUM(H14-R14)</f>
        <v>-1.4208825927543535E-2</v>
      </c>
      <c r="U14" s="2">
        <v>12</v>
      </c>
      <c r="V14" s="4"/>
      <c r="W14" s="2">
        <v>2022</v>
      </c>
      <c r="X14" s="4">
        <v>-5.5500153175918138E-2</v>
      </c>
    </row>
    <row r="15" spans="1:24" x14ac:dyDescent="0.35">
      <c r="A15" s="6">
        <v>13</v>
      </c>
      <c r="B15" s="9"/>
      <c r="C15" s="6">
        <v>2020</v>
      </c>
      <c r="D15" s="16">
        <v>275667000000</v>
      </c>
      <c r="E15" s="16">
        <v>714412000000</v>
      </c>
      <c r="F15" s="16">
        <f t="shared" si="7"/>
        <v>-438745000000</v>
      </c>
      <c r="G15" s="16">
        <v>2914979000000</v>
      </c>
      <c r="H15" s="4">
        <f t="shared" ref="H15:H17" si="14">F15/G14</f>
        <v>-0.14917941038864951</v>
      </c>
      <c r="I15" s="4">
        <f t="shared" ref="I15:I17" si="15">1/G14</f>
        <v>3.400139269704487E-13</v>
      </c>
      <c r="J15" s="16">
        <v>1812762000000</v>
      </c>
      <c r="K15" s="4">
        <f t="shared" ref="K15:K17" si="16">(J15-J14)/G14</f>
        <v>-0.1562867215041128</v>
      </c>
      <c r="L15" s="16">
        <v>492340000000</v>
      </c>
      <c r="M15" s="4">
        <f t="shared" ref="M15:M17" si="17">L15/G14</f>
        <v>0.16740245680463073</v>
      </c>
      <c r="N15" s="55">
        <v>-2647819222.08285</v>
      </c>
      <c r="O15" s="53">
        <v>9.5000000000000001E-2</v>
      </c>
      <c r="P15" s="53">
        <v>-3.5000000000000003E-2</v>
      </c>
      <c r="Q15" s="16">
        <f>667410000000+11142000000</f>
        <v>678552000000</v>
      </c>
      <c r="R15" s="4">
        <f t="shared" ref="R15:R17" si="18">SUM((N15*I15)+(O15*(((J15-J14)-(Q15-Q14))/G14))+(P15*M15))</f>
        <v>-1.1756073064260882E-2</v>
      </c>
      <c r="S15" s="4">
        <f t="shared" ref="S15:S17" si="19">SUM(H15-R15)</f>
        <v>-0.13742333732438863</v>
      </c>
      <c r="U15" s="2">
        <v>13</v>
      </c>
      <c r="V15" s="3" t="s">
        <v>6</v>
      </c>
      <c r="W15" s="5">
        <v>2019</v>
      </c>
      <c r="X15" s="4">
        <v>-5.3221713885114895E-2</v>
      </c>
    </row>
    <row r="16" spans="1:24" x14ac:dyDescent="0.35">
      <c r="A16" s="6">
        <v>14</v>
      </c>
      <c r="B16" s="9"/>
      <c r="C16" s="6">
        <v>2021</v>
      </c>
      <c r="D16" s="16">
        <v>380992000000</v>
      </c>
      <c r="E16" s="16">
        <v>652538000000</v>
      </c>
      <c r="F16" s="16">
        <f t="shared" si="7"/>
        <v>-271546000000</v>
      </c>
      <c r="G16" s="16">
        <v>3132202000000</v>
      </c>
      <c r="H16" s="4">
        <f t="shared" si="14"/>
        <v>-9.3155388083413296E-2</v>
      </c>
      <c r="I16" s="4">
        <f t="shared" si="15"/>
        <v>3.4305564465472992E-13</v>
      </c>
      <c r="J16" s="16">
        <v>2015138000000</v>
      </c>
      <c r="K16" s="4">
        <f t="shared" si="16"/>
        <v>6.9426229142645624E-2</v>
      </c>
      <c r="L16" s="16">
        <v>497760000000</v>
      </c>
      <c r="M16" s="4">
        <f t="shared" si="17"/>
        <v>0.17075937768333838</v>
      </c>
      <c r="N16" s="55">
        <v>-2647819222.08285</v>
      </c>
      <c r="O16" s="53">
        <v>9.5000000000000001E-2</v>
      </c>
      <c r="P16" s="53">
        <v>-3.5000000000000003E-2</v>
      </c>
      <c r="Q16" s="16">
        <f>533688000000+3324000000</f>
        <v>537012000000</v>
      </c>
      <c r="R16" s="4">
        <f t="shared" si="18"/>
        <v>4.323393334194567E-3</v>
      </c>
      <c r="S16" s="4">
        <f t="shared" si="19"/>
        <v>-9.7478781417607865E-2</v>
      </c>
      <c r="U16" s="2">
        <v>14</v>
      </c>
      <c r="V16" s="4"/>
      <c r="W16" s="2">
        <v>2020</v>
      </c>
      <c r="X16" s="4">
        <v>-1.0334667918514055E-2</v>
      </c>
    </row>
    <row r="17" spans="1:24" x14ac:dyDescent="0.35">
      <c r="A17" s="6">
        <v>15</v>
      </c>
      <c r="B17" s="9"/>
      <c r="C17" s="6">
        <v>2022</v>
      </c>
      <c r="D17" s="16">
        <v>523242000000</v>
      </c>
      <c r="E17" s="16">
        <v>668145000000</v>
      </c>
      <c r="F17" s="16">
        <f t="shared" si="7"/>
        <v>-144903000000</v>
      </c>
      <c r="G17" s="16">
        <v>3410482000000</v>
      </c>
      <c r="H17" s="4">
        <f t="shared" si="14"/>
        <v>-4.6262341956233986E-2</v>
      </c>
      <c r="I17" s="4">
        <f t="shared" si="15"/>
        <v>3.1926421092892477E-13</v>
      </c>
      <c r="J17" s="16">
        <v>2415592000000</v>
      </c>
      <c r="K17" s="4">
        <f t="shared" si="16"/>
        <v>0.12785063032333163</v>
      </c>
      <c r="L17" s="16">
        <v>515181000000</v>
      </c>
      <c r="M17" s="4">
        <f t="shared" si="17"/>
        <v>0.16447885545057439</v>
      </c>
      <c r="N17" s="55">
        <v>-2647819222.08285</v>
      </c>
      <c r="O17" s="53">
        <v>9.5000000000000001E-2</v>
      </c>
      <c r="P17" s="53">
        <v>-3.5000000000000003E-2</v>
      </c>
      <c r="Q17" s="16">
        <f>413255000000+1960000000</f>
        <v>415215000000</v>
      </c>
      <c r="R17" s="4">
        <f t="shared" si="18"/>
        <v>9.2378112196841531E-3</v>
      </c>
      <c r="S17" s="4">
        <f t="shared" si="19"/>
        <v>-5.5500153175918138E-2</v>
      </c>
      <c r="U17" s="2">
        <v>15</v>
      </c>
      <c r="V17" s="4"/>
      <c r="W17" s="2">
        <v>2021</v>
      </c>
      <c r="X17" s="4">
        <v>-4.1533849153213995E-2</v>
      </c>
    </row>
    <row r="18" spans="1:24" x14ac:dyDescent="0.35">
      <c r="A18" s="6">
        <v>16</v>
      </c>
      <c r="B18" s="7" t="s">
        <v>6</v>
      </c>
      <c r="C18" s="8">
        <v>2018</v>
      </c>
      <c r="D18" s="15"/>
      <c r="E18" s="15"/>
      <c r="F18" s="16"/>
      <c r="G18" s="16">
        <v>3392980000000</v>
      </c>
      <c r="H18" s="4"/>
      <c r="I18" s="4"/>
      <c r="J18" s="15">
        <v>2647193000000</v>
      </c>
      <c r="K18" s="4"/>
      <c r="L18" s="15">
        <v>1871467000000</v>
      </c>
      <c r="M18" s="4"/>
      <c r="N18" s="55">
        <v>-2647819222.08285</v>
      </c>
      <c r="O18" s="53">
        <v>9.5000000000000001E-2</v>
      </c>
      <c r="P18" s="53">
        <v>-3.5000000000000003E-2</v>
      </c>
      <c r="Q18" s="15">
        <f>521661000000+105719000000</f>
        <v>627380000000</v>
      </c>
      <c r="R18" s="4"/>
      <c r="S18" s="4"/>
      <c r="U18" s="2">
        <v>16</v>
      </c>
      <c r="V18" s="4"/>
      <c r="W18" s="2">
        <v>2022</v>
      </c>
      <c r="X18" s="4">
        <v>4.0868912395315954E-2</v>
      </c>
    </row>
    <row r="19" spans="1:24" x14ac:dyDescent="0.35">
      <c r="A19" s="6">
        <v>17</v>
      </c>
      <c r="B19" s="7"/>
      <c r="C19" s="8">
        <v>2019</v>
      </c>
      <c r="D19" s="16">
        <v>64021000000</v>
      </c>
      <c r="E19" s="16">
        <v>271140000000</v>
      </c>
      <c r="F19" s="16">
        <f t="shared" si="7"/>
        <v>-207119000000</v>
      </c>
      <c r="G19" s="16">
        <v>2999767000000</v>
      </c>
      <c r="H19" s="4">
        <f>F19/G18</f>
        <v>-6.1043389586734963E-2</v>
      </c>
      <c r="I19" s="4">
        <f>1/G18</f>
        <v>2.9472616991553147E-13</v>
      </c>
      <c r="J19" s="16">
        <v>3003768000000</v>
      </c>
      <c r="K19" s="4">
        <f>(J19-J18)/G18</f>
        <v>0.10509198403763063</v>
      </c>
      <c r="L19" s="16">
        <v>1808968000000</v>
      </c>
      <c r="M19" s="4">
        <f>L19/G18</f>
        <v>0.53315021013975916</v>
      </c>
      <c r="N19" s="55">
        <v>-2647819222.08285</v>
      </c>
      <c r="O19" s="53">
        <v>9.5000000000000001E-2</v>
      </c>
      <c r="P19" s="53">
        <v>-3.5000000000000003E-2</v>
      </c>
      <c r="Q19" s="16">
        <f>489618000000+79359000000</f>
        <v>568977000000</v>
      </c>
      <c r="R19" s="4">
        <f>SUM((N19*I19)+(O19*(((J19-J18)-(Q19-Q18))/G18))+(P19*M19))</f>
        <v>-7.8216757016200695E-3</v>
      </c>
      <c r="S19" s="4">
        <f>SUM(H19-R19)</f>
        <v>-5.3221713885114895E-2</v>
      </c>
      <c r="U19" s="2">
        <v>17</v>
      </c>
      <c r="V19" s="3" t="s">
        <v>7</v>
      </c>
      <c r="W19" s="5">
        <v>2019</v>
      </c>
      <c r="X19" s="4">
        <v>-7.8887400674104768E-2</v>
      </c>
    </row>
    <row r="20" spans="1:24" x14ac:dyDescent="0.35">
      <c r="A20" s="6">
        <v>18</v>
      </c>
      <c r="B20" s="9"/>
      <c r="C20" s="6">
        <v>2020</v>
      </c>
      <c r="D20" s="16">
        <v>67093000000</v>
      </c>
      <c r="E20" s="16">
        <v>193682000000</v>
      </c>
      <c r="F20" s="16">
        <f t="shared" si="7"/>
        <v>-126589000000</v>
      </c>
      <c r="G20" s="16">
        <v>2963007000000</v>
      </c>
      <c r="H20" s="4">
        <f t="shared" ref="H20:H22" si="20">F20/G19</f>
        <v>-4.219961083644163E-2</v>
      </c>
      <c r="I20" s="4">
        <f t="shared" ref="I20:I22" si="21">1/G19</f>
        <v>3.3335922423308211E-13</v>
      </c>
      <c r="J20" s="16">
        <v>2725866000000</v>
      </c>
      <c r="K20" s="4">
        <f t="shared" ref="K20:K22" si="22">(J20-J19)/G19</f>
        <v>-9.2641195132821985E-2</v>
      </c>
      <c r="L20" s="16">
        <v>1699087000000</v>
      </c>
      <c r="M20" s="4">
        <f t="shared" ref="M20:M22" si="23">L20/G19</f>
        <v>0.56640632422451476</v>
      </c>
      <c r="N20" s="55">
        <v>-2647819222.08285</v>
      </c>
      <c r="O20" s="53">
        <v>9.5000000000000001E-2</v>
      </c>
      <c r="P20" s="53">
        <v>-3.5000000000000003E-2</v>
      </c>
      <c r="Q20" s="16">
        <f>501788000000+141619000000</f>
        <v>643407000000</v>
      </c>
      <c r="R20" s="4">
        <f t="shared" ref="R20:R22" si="24">SUM((N20*I20)+(O20*(((J20-J19)-(Q20-Q19))/G19))+(P20*M20))</f>
        <v>-3.1864942917927574E-2</v>
      </c>
      <c r="S20" s="4">
        <f t="shared" ref="S20:S22" si="25">SUM(H20-R20)</f>
        <v>-1.0334667918514055E-2</v>
      </c>
      <c r="U20" s="2">
        <v>18</v>
      </c>
      <c r="V20" s="4"/>
      <c r="W20" s="2">
        <v>2020</v>
      </c>
      <c r="X20" s="4">
        <v>-0.13476987601510027</v>
      </c>
    </row>
    <row r="21" spans="1:24" x14ac:dyDescent="0.35">
      <c r="A21" s="6">
        <v>19</v>
      </c>
      <c r="B21" s="9"/>
      <c r="C21" s="6">
        <v>2021</v>
      </c>
      <c r="D21" s="16">
        <v>91723000000</v>
      </c>
      <c r="E21" s="16">
        <v>233809000000</v>
      </c>
      <c r="F21" s="16">
        <f t="shared" si="7"/>
        <v>-142086000000</v>
      </c>
      <c r="G21" s="16">
        <v>2993218000000</v>
      </c>
      <c r="H21" s="4">
        <f t="shared" si="20"/>
        <v>-4.795331229389603E-2</v>
      </c>
      <c r="I21" s="4">
        <f t="shared" si="21"/>
        <v>3.3749498398080058E-13</v>
      </c>
      <c r="J21" s="16">
        <v>3374782000000</v>
      </c>
      <c r="K21" s="4">
        <f t="shared" si="22"/>
        <v>0.21900589502488518</v>
      </c>
      <c r="L21" s="16">
        <v>1663014000000</v>
      </c>
      <c r="M21" s="4">
        <f t="shared" si="23"/>
        <v>0.56125888328984708</v>
      </c>
      <c r="N21" s="55">
        <v>-2647819222.08285</v>
      </c>
      <c r="O21" s="53">
        <v>9.5000000000000001E-2</v>
      </c>
      <c r="P21" s="53">
        <v>-3.5000000000000003E-2</v>
      </c>
      <c r="Q21" s="16">
        <f>712360000000+139622000000</f>
        <v>851982000000</v>
      </c>
      <c r="R21" s="4">
        <f t="shared" si="24"/>
        <v>-6.4194631406820322E-3</v>
      </c>
      <c r="S21" s="4">
        <f t="shared" si="25"/>
        <v>-4.1533849153213995E-2</v>
      </c>
      <c r="U21" s="2">
        <v>19</v>
      </c>
      <c r="V21" s="4"/>
      <c r="W21" s="2">
        <v>2021</v>
      </c>
      <c r="X21" s="4">
        <v>-0.10293081731481429</v>
      </c>
    </row>
    <row r="22" spans="1:24" x14ac:dyDescent="0.35">
      <c r="A22" s="6">
        <v>20</v>
      </c>
      <c r="B22" s="9"/>
      <c r="C22" s="6">
        <v>2022</v>
      </c>
      <c r="D22" s="16">
        <v>93065000000</v>
      </c>
      <c r="E22" s="16">
        <v>31245000000</v>
      </c>
      <c r="F22" s="16">
        <f t="shared" si="7"/>
        <v>61820000000</v>
      </c>
      <c r="G22" s="16">
        <v>3172651000000</v>
      </c>
      <c r="H22" s="4">
        <f t="shared" si="20"/>
        <v>2.0653357022442066E-2</v>
      </c>
      <c r="I22" s="4">
        <f t="shared" si="21"/>
        <v>3.3408859628667207E-13</v>
      </c>
      <c r="J22" s="16">
        <v>3382326000000</v>
      </c>
      <c r="K22" s="4">
        <f t="shared" si="22"/>
        <v>2.5203643703866543E-3</v>
      </c>
      <c r="L22" s="16">
        <v>1582871000000</v>
      </c>
      <c r="M22" s="4">
        <f t="shared" si="23"/>
        <v>0.52881915049288086</v>
      </c>
      <c r="N22" s="55">
        <v>-2647819222.08285</v>
      </c>
      <c r="O22" s="53">
        <v>9.5000000000000001E-2</v>
      </c>
      <c r="P22" s="53">
        <v>-3.5000000000000003E-2</v>
      </c>
      <c r="Q22" s="16">
        <f>746827000000+138607000000</f>
        <v>885434000000</v>
      </c>
      <c r="R22" s="4">
        <f t="shared" si="24"/>
        <v>-2.0215555372873891E-2</v>
      </c>
      <c r="S22" s="4">
        <f t="shared" si="25"/>
        <v>4.0868912395315954E-2</v>
      </c>
      <c r="U22" s="2">
        <v>20</v>
      </c>
      <c r="V22" s="4"/>
      <c r="W22" s="2">
        <v>2022</v>
      </c>
      <c r="X22" s="4">
        <v>-4.8476956017305999E-2</v>
      </c>
    </row>
    <row r="23" spans="1:24" x14ac:dyDescent="0.35">
      <c r="A23" s="6">
        <v>21</v>
      </c>
      <c r="B23" s="7" t="s">
        <v>7</v>
      </c>
      <c r="C23" s="8">
        <v>2018</v>
      </c>
      <c r="D23" s="15"/>
      <c r="E23" s="15"/>
      <c r="F23" s="16"/>
      <c r="G23" s="16">
        <v>1004275813783</v>
      </c>
      <c r="H23" s="4"/>
      <c r="I23" s="4"/>
      <c r="J23" s="15">
        <v>961136629003</v>
      </c>
      <c r="K23" s="4"/>
      <c r="L23" s="15">
        <v>214497825924</v>
      </c>
      <c r="M23" s="4"/>
      <c r="N23" s="55">
        <v>-2647819222.08285</v>
      </c>
      <c r="O23" s="53">
        <v>9.5000000000000001E-2</v>
      </c>
      <c r="P23" s="53">
        <v>-3.5000000000000003E-2</v>
      </c>
      <c r="Q23" s="15">
        <v>193458573978</v>
      </c>
      <c r="R23" s="4"/>
      <c r="S23" s="4"/>
      <c r="U23" s="2">
        <v>21</v>
      </c>
      <c r="V23" s="3" t="s">
        <v>8</v>
      </c>
      <c r="W23" s="5">
        <v>2019</v>
      </c>
      <c r="X23" s="4">
        <v>-0.1483372119395539</v>
      </c>
    </row>
    <row r="24" spans="1:24" x14ac:dyDescent="0.35">
      <c r="A24" s="6">
        <v>22</v>
      </c>
      <c r="B24" s="7"/>
      <c r="C24" s="8">
        <v>2019</v>
      </c>
      <c r="D24" s="16">
        <v>76758829457</v>
      </c>
      <c r="E24" s="16">
        <v>158440399914</v>
      </c>
      <c r="F24" s="16">
        <f t="shared" si="7"/>
        <v>-81681570457</v>
      </c>
      <c r="G24" s="16">
        <v>1057529235985</v>
      </c>
      <c r="H24" s="4">
        <f>F24/G23</f>
        <v>-8.1333802264254698E-2</v>
      </c>
      <c r="I24" s="4">
        <f>1/G23</f>
        <v>9.9574239096041409E-13</v>
      </c>
      <c r="J24" s="16">
        <v>1028952947818</v>
      </c>
      <c r="K24" s="4">
        <f>(J24-J23)/G23</f>
        <v>6.752758344298182E-2</v>
      </c>
      <c r="L24" s="16">
        <v>208167764816</v>
      </c>
      <c r="M24" s="4">
        <f>L24/G23</f>
        <v>0.207281467858769</v>
      </c>
      <c r="N24" s="55">
        <v>-2647819222.08285</v>
      </c>
      <c r="O24" s="53">
        <v>9.5000000000000001E-2</v>
      </c>
      <c r="P24" s="53">
        <v>-3.5000000000000003E-2</v>
      </c>
      <c r="Q24" s="16">
        <v>182571429184</v>
      </c>
      <c r="R24" s="4">
        <f>SUM((N24*I24)+(O24*(((J24-J23)-(Q24-Q23))/G23))+(P24*M24))</f>
        <v>-2.446401590149935E-3</v>
      </c>
      <c r="S24" s="4">
        <f>SUM(H24-R24)</f>
        <v>-7.8887400674104768E-2</v>
      </c>
      <c r="U24" s="2">
        <v>22</v>
      </c>
      <c r="V24" s="4"/>
      <c r="W24" s="2">
        <v>2020</v>
      </c>
      <c r="X24" s="4">
        <v>-1.6463964284243873E-2</v>
      </c>
    </row>
    <row r="25" spans="1:24" x14ac:dyDescent="0.35">
      <c r="A25" s="6">
        <v>23</v>
      </c>
      <c r="B25" s="9"/>
      <c r="C25" s="6">
        <v>2020</v>
      </c>
      <c r="D25" s="16">
        <v>44045828312</v>
      </c>
      <c r="E25" s="16">
        <v>198880212796</v>
      </c>
      <c r="F25" s="16">
        <f t="shared" si="7"/>
        <v>-154834384484</v>
      </c>
      <c r="G25" s="16">
        <v>1086873666641</v>
      </c>
      <c r="H25" s="4">
        <f t="shared" ref="H25:H27" si="26">F25/G24</f>
        <v>-0.14641144586398572</v>
      </c>
      <c r="I25" s="4">
        <f t="shared" ref="I25:I27" si="27">1/G24</f>
        <v>9.4560033517048221E-13</v>
      </c>
      <c r="J25" s="16">
        <v>956634474111</v>
      </c>
      <c r="K25" s="4">
        <f t="shared" ref="K25:K27" si="28">(J25-J24)/G24</f>
        <v>-6.8384372976356911E-2</v>
      </c>
      <c r="L25" s="16">
        <v>237711417828</v>
      </c>
      <c r="M25" s="4">
        <f t="shared" ref="M25:M27" si="29">L25/G24</f>
        <v>0.22477999637200735</v>
      </c>
      <c r="N25" s="55">
        <v>-2647819222.08285</v>
      </c>
      <c r="O25" s="53">
        <v>9.5000000000000001E-2</v>
      </c>
      <c r="P25" s="53">
        <v>-3.5000000000000003E-2</v>
      </c>
      <c r="Q25" s="16">
        <v>124395919918</v>
      </c>
      <c r="R25" s="4">
        <f t="shared" ref="R25:R27" si="30">SUM((N25*I25)+(O25*(((J25-J24)-(Q25-Q24))/G24))+(P25*M25))</f>
        <v>-1.1641569848885459E-2</v>
      </c>
      <c r="S25" s="4">
        <f t="shared" ref="S25:S27" si="31">SUM(H25-R25)</f>
        <v>-0.13476987601510027</v>
      </c>
      <c r="U25" s="2">
        <v>23</v>
      </c>
      <c r="V25" s="4"/>
      <c r="W25" s="2">
        <v>2021</v>
      </c>
      <c r="X25" s="4">
        <v>8.9023183523848526E-2</v>
      </c>
    </row>
    <row r="26" spans="1:24" x14ac:dyDescent="0.35">
      <c r="A26" s="6">
        <v>24</v>
      </c>
      <c r="B26" s="9"/>
      <c r="C26" s="6">
        <v>2021</v>
      </c>
      <c r="D26" s="16">
        <v>99278807290</v>
      </c>
      <c r="E26" s="16">
        <v>213482549779</v>
      </c>
      <c r="F26" s="16">
        <f t="shared" si="7"/>
        <v>-114203742489</v>
      </c>
      <c r="G26" s="16">
        <v>1146235578463</v>
      </c>
      <c r="H26" s="4">
        <f t="shared" si="26"/>
        <v>-0.10507545264386471</v>
      </c>
      <c r="I26" s="4">
        <f t="shared" si="27"/>
        <v>9.2007013390113286E-13</v>
      </c>
      <c r="J26" s="16">
        <v>1019133657275</v>
      </c>
      <c r="K26" s="4">
        <f t="shared" si="28"/>
        <v>5.7503631822412901E-2</v>
      </c>
      <c r="L26" s="16">
        <v>198170686974</v>
      </c>
      <c r="M26" s="4">
        <f t="shared" si="29"/>
        <v>0.18233093049944765</v>
      </c>
      <c r="N26" s="55">
        <v>-2647819222.08285</v>
      </c>
      <c r="O26" s="53">
        <v>9.5000000000000001E-2</v>
      </c>
      <c r="P26" s="53">
        <v>-3.5000000000000003E-2</v>
      </c>
      <c r="Q26" s="16">
        <v>110549359898</v>
      </c>
      <c r="R26" s="4">
        <f t="shared" si="30"/>
        <v>-2.1446353290504143E-3</v>
      </c>
      <c r="S26" s="4">
        <f t="shared" si="31"/>
        <v>-0.10293081731481429</v>
      </c>
      <c r="U26" s="2">
        <v>24</v>
      </c>
      <c r="V26" s="4"/>
      <c r="W26" s="2">
        <v>2022</v>
      </c>
      <c r="X26" s="4">
        <v>0.10195646215595641</v>
      </c>
    </row>
    <row r="27" spans="1:24" x14ac:dyDescent="0.35">
      <c r="A27" s="6">
        <v>25</v>
      </c>
      <c r="B27" s="9"/>
      <c r="C27" s="6">
        <v>2022</v>
      </c>
      <c r="D27" s="16">
        <v>121257336904</v>
      </c>
      <c r="E27" s="16">
        <v>178373991059</v>
      </c>
      <c r="F27" s="16">
        <f t="shared" si="7"/>
        <v>-57116654155</v>
      </c>
      <c r="G27" s="16">
        <v>1074777460412</v>
      </c>
      <c r="H27" s="4">
        <f t="shared" si="26"/>
        <v>-4.982976905287511E-2</v>
      </c>
      <c r="I27" s="4">
        <f t="shared" si="27"/>
        <v>8.7242100907468872E-13</v>
      </c>
      <c r="J27" s="16">
        <v>1129360552136</v>
      </c>
      <c r="K27" s="4">
        <f t="shared" si="28"/>
        <v>9.6164258841803241E-2</v>
      </c>
      <c r="L27" s="16">
        <v>223673837741</v>
      </c>
      <c r="M27" s="4">
        <f t="shared" si="29"/>
        <v>0.19513775522561141</v>
      </c>
      <c r="N27" s="55">
        <v>-2647819222.08285</v>
      </c>
      <c r="O27" s="53">
        <v>9.5000000000000001E-2</v>
      </c>
      <c r="P27" s="53">
        <v>-3.5000000000000003E-2</v>
      </c>
      <c r="Q27" s="16">
        <v>126820874647</v>
      </c>
      <c r="R27" s="4">
        <f t="shared" si="30"/>
        <v>-1.3528130355691141E-3</v>
      </c>
      <c r="S27" s="4">
        <f t="shared" si="31"/>
        <v>-4.8476956017305999E-2</v>
      </c>
      <c r="U27" s="2">
        <v>25</v>
      </c>
      <c r="V27" s="3" t="s">
        <v>9</v>
      </c>
      <c r="W27" s="5">
        <v>2019</v>
      </c>
      <c r="X27" s="4">
        <v>-7.815435079767491E-2</v>
      </c>
    </row>
    <row r="28" spans="1:24" x14ac:dyDescent="0.35">
      <c r="A28" s="6">
        <v>26</v>
      </c>
      <c r="B28" s="7" t="s">
        <v>8</v>
      </c>
      <c r="C28" s="8">
        <v>2018</v>
      </c>
      <c r="D28" s="15"/>
      <c r="E28" s="15"/>
      <c r="F28" s="16"/>
      <c r="G28" s="16">
        <v>1168956042706</v>
      </c>
      <c r="H28" s="4"/>
      <c r="I28" s="4"/>
      <c r="J28" s="15">
        <v>3629327583572</v>
      </c>
      <c r="K28" s="4"/>
      <c r="L28" s="15">
        <v>200024117988</v>
      </c>
      <c r="M28" s="4"/>
      <c r="N28" s="55">
        <v>-2647819222.08285</v>
      </c>
      <c r="O28" s="53">
        <v>9.5000000000000001E-2</v>
      </c>
      <c r="P28" s="53">
        <v>-3.5000000000000003E-2</v>
      </c>
      <c r="Q28" s="15">
        <f>145708854828+144237416391</f>
        <v>289946271219</v>
      </c>
      <c r="R28" s="4"/>
      <c r="S28" s="4"/>
      <c r="U28" s="2">
        <v>26</v>
      </c>
      <c r="V28" s="4"/>
      <c r="W28" s="2">
        <v>2020</v>
      </c>
      <c r="X28" s="4">
        <v>-3.7274805786359173E-2</v>
      </c>
    </row>
    <row r="29" spans="1:24" x14ac:dyDescent="0.35">
      <c r="A29" s="6">
        <v>27</v>
      </c>
      <c r="B29" s="7"/>
      <c r="C29" s="8">
        <v>2019</v>
      </c>
      <c r="D29" s="16">
        <v>215459200242</v>
      </c>
      <c r="E29" s="16">
        <v>453147999966</v>
      </c>
      <c r="F29" s="16">
        <f t="shared" si="7"/>
        <v>-237688799724</v>
      </c>
      <c r="G29" s="16">
        <v>1393079542074</v>
      </c>
      <c r="H29" s="4">
        <f>F29/G28</f>
        <v>-0.20333424957005014</v>
      </c>
      <c r="I29" s="4">
        <f>1/G28</f>
        <v>8.5546416072679169E-13</v>
      </c>
      <c r="J29" s="16">
        <v>3120937098980</v>
      </c>
      <c r="K29" s="4">
        <f>(J29-J28)/G28</f>
        <v>-0.43490983922298221</v>
      </c>
      <c r="L29" s="16">
        <v>195283411192</v>
      </c>
      <c r="M29" s="4">
        <f>L29/G28</f>
        <v>0.16705795945922924</v>
      </c>
      <c r="N29" s="55">
        <v>-2647819222.08285</v>
      </c>
      <c r="O29" s="53">
        <v>9.5000000000000001E-2</v>
      </c>
      <c r="P29" s="53">
        <v>-3.5000000000000003E-2</v>
      </c>
      <c r="Q29" s="16">
        <f>106059798871+252405259917</f>
        <v>358465058788</v>
      </c>
      <c r="R29" s="4">
        <f>SUM((N29*I29)+(O29*(((J29-J28)-(Q29-Q28))/G28))+(P29*M29))</f>
        <v>-5.4997037630496237E-2</v>
      </c>
      <c r="S29" s="4">
        <f>SUM(H29-R29)</f>
        <v>-0.1483372119395539</v>
      </c>
      <c r="U29" s="2">
        <v>27</v>
      </c>
      <c r="V29" s="4"/>
      <c r="W29" s="2">
        <v>2021</v>
      </c>
      <c r="X29" s="4">
        <v>-1.9270696492723921E-2</v>
      </c>
    </row>
    <row r="30" spans="1:24" x14ac:dyDescent="0.35">
      <c r="A30" s="6">
        <v>28</v>
      </c>
      <c r="B30" s="9"/>
      <c r="C30" s="6">
        <v>2020</v>
      </c>
      <c r="D30" s="16">
        <v>181812593992</v>
      </c>
      <c r="E30" s="16">
        <v>171295450196</v>
      </c>
      <c r="F30" s="16">
        <f t="shared" si="7"/>
        <v>10517143796</v>
      </c>
      <c r="G30" s="16">
        <v>1566673828068</v>
      </c>
      <c r="H30" s="4">
        <f t="shared" ref="H30:H32" si="32">F30/G29</f>
        <v>7.5495644565580248E-3</v>
      </c>
      <c r="I30" s="4">
        <f t="shared" ref="I30:I32" si="33">1/G29</f>
        <v>7.1783410049307883E-13</v>
      </c>
      <c r="J30" s="16">
        <v>3634297273749</v>
      </c>
      <c r="K30" s="4">
        <f t="shared" ref="K30:K32" si="34">(J30-J29)/G29</f>
        <v>0.36850743928427487</v>
      </c>
      <c r="L30" s="16">
        <v>204186009945</v>
      </c>
      <c r="M30" s="4">
        <f t="shared" ref="M30:M32" si="35">L30/G29</f>
        <v>0.14657168078213992</v>
      </c>
      <c r="N30" s="55">
        <v>-2647819222.08285</v>
      </c>
      <c r="O30" s="53">
        <v>9.5000000000000001E-2</v>
      </c>
      <c r="P30" s="53">
        <v>-3.5000000000000003E-2</v>
      </c>
      <c r="Q30" s="16">
        <f>119694603388+296898154464</f>
        <v>416592757852</v>
      </c>
      <c r="R30" s="4">
        <f t="shared" ref="R30:R32" si="36">SUM((N30*I30)+(O30*(((J30-J29)-(Q30-Q29))/G29))+(P30*M30))</f>
        <v>2.4013528740801898E-2</v>
      </c>
      <c r="S30" s="4">
        <f t="shared" ref="S30:S32" si="37">SUM(H30-R30)</f>
        <v>-1.6463964284243873E-2</v>
      </c>
      <c r="U30" s="2">
        <v>28</v>
      </c>
      <c r="V30" s="4"/>
      <c r="W30" s="2">
        <v>2022</v>
      </c>
      <c r="X30" s="4">
        <v>2.4041347223215655E-2</v>
      </c>
    </row>
    <row r="31" spans="1:24" x14ac:dyDescent="0.35">
      <c r="A31" s="6">
        <v>29</v>
      </c>
      <c r="B31" s="9"/>
      <c r="C31" s="6">
        <v>2021</v>
      </c>
      <c r="D31" s="16">
        <v>187066990085</v>
      </c>
      <c r="E31" s="16">
        <v>-91481686113</v>
      </c>
      <c r="F31" s="16">
        <f t="shared" si="7"/>
        <v>278548676198</v>
      </c>
      <c r="G31" s="16">
        <v>1697387196209</v>
      </c>
      <c r="H31" s="4">
        <f t="shared" si="32"/>
        <v>0.17779621463486264</v>
      </c>
      <c r="I31" s="4">
        <f t="shared" si="33"/>
        <v>6.3829495462574103E-13</v>
      </c>
      <c r="J31" s="16">
        <v>5359440530374</v>
      </c>
      <c r="K31" s="4">
        <f t="shared" si="34"/>
        <v>1.1011502367103574</v>
      </c>
      <c r="L31" s="16">
        <v>236062886495</v>
      </c>
      <c r="M31" s="4">
        <f t="shared" si="35"/>
        <v>0.15067774942414747</v>
      </c>
      <c r="N31" s="55">
        <v>-2647819222.08285</v>
      </c>
      <c r="O31" s="53">
        <v>9.5000000000000001E-2</v>
      </c>
      <c r="P31" s="53">
        <v>-3.5000000000000003E-2</v>
      </c>
      <c r="Q31" s="16">
        <f>231747886364+331162815173</f>
        <v>562910701537</v>
      </c>
      <c r="R31" s="4">
        <f t="shared" si="36"/>
        <v>8.8773031111014117E-2</v>
      </c>
      <c r="S31" s="4">
        <f t="shared" si="37"/>
        <v>8.9023183523848526E-2</v>
      </c>
      <c r="U31" s="2">
        <v>29</v>
      </c>
      <c r="V31" s="3" t="s">
        <v>10</v>
      </c>
      <c r="W31" s="5">
        <v>2019</v>
      </c>
      <c r="X31" s="4">
        <v>-8.528810316684779E-2</v>
      </c>
    </row>
    <row r="32" spans="1:24" x14ac:dyDescent="0.35">
      <c r="A32" s="6">
        <v>30</v>
      </c>
      <c r="B32" s="9"/>
      <c r="C32" s="6">
        <v>2022</v>
      </c>
      <c r="D32" s="16">
        <v>220704543072</v>
      </c>
      <c r="E32" s="16">
        <v>11867530566</v>
      </c>
      <c r="F32" s="16">
        <f t="shared" si="7"/>
        <v>208837012506</v>
      </c>
      <c r="G32" s="16">
        <v>1718287453575</v>
      </c>
      <c r="H32" s="4">
        <f t="shared" si="32"/>
        <v>0.12303439838147914</v>
      </c>
      <c r="I32" s="4">
        <f t="shared" si="33"/>
        <v>5.891407701397964E-13</v>
      </c>
      <c r="J32" s="16">
        <v>6143759424928</v>
      </c>
      <c r="K32" s="4">
        <f t="shared" si="34"/>
        <v>0.46207423757273736</v>
      </c>
      <c r="L32" s="16">
        <v>269389502266</v>
      </c>
      <c r="M32" s="4">
        <f t="shared" si="35"/>
        <v>0.15870833883256769</v>
      </c>
      <c r="N32" s="55">
        <v>-2647819222.08285</v>
      </c>
      <c r="O32" s="53">
        <v>9.5000000000000001E-2</v>
      </c>
      <c r="P32" s="53">
        <v>-3.5000000000000003E-2</v>
      </c>
      <c r="Q32" s="16">
        <f>192708209797+650796429735</f>
        <v>843504639532</v>
      </c>
      <c r="R32" s="4">
        <f t="shared" si="36"/>
        <v>2.1077936225522738E-2</v>
      </c>
      <c r="S32" s="4">
        <f t="shared" si="37"/>
        <v>0.10195646215595641</v>
      </c>
      <c r="U32" s="2">
        <v>30</v>
      </c>
      <c r="V32" s="4"/>
      <c r="W32" s="2">
        <v>2020</v>
      </c>
      <c r="X32" s="4">
        <v>-4.5536690295855088E-2</v>
      </c>
    </row>
    <row r="33" spans="1:24" x14ac:dyDescent="0.35">
      <c r="A33" s="6">
        <v>31</v>
      </c>
      <c r="B33" s="7" t="s">
        <v>9</v>
      </c>
      <c r="C33" s="8">
        <v>2018</v>
      </c>
      <c r="D33" s="15"/>
      <c r="E33" s="15"/>
      <c r="F33" s="16"/>
      <c r="G33" s="16">
        <v>833933861594</v>
      </c>
      <c r="H33" s="4"/>
      <c r="I33" s="4"/>
      <c r="J33" s="15">
        <v>831104026853</v>
      </c>
      <c r="K33" s="4"/>
      <c r="L33" s="15">
        <v>550478901276</v>
      </c>
      <c r="M33" s="4"/>
      <c r="N33" s="55">
        <v>-2647819222.08285</v>
      </c>
      <c r="O33" s="53">
        <v>9.5000000000000001E-2</v>
      </c>
      <c r="P33" s="53">
        <v>-3.5000000000000003E-2</v>
      </c>
      <c r="Q33" s="15">
        <f>73438446519+16177543745</f>
        <v>89615990264</v>
      </c>
      <c r="R33" s="4"/>
      <c r="S33" s="4"/>
      <c r="U33" s="2">
        <v>31</v>
      </c>
      <c r="V33" s="4"/>
      <c r="W33" s="2">
        <v>2021</v>
      </c>
      <c r="X33" s="4">
        <v>0.34989136674859711</v>
      </c>
    </row>
    <row r="34" spans="1:24" x14ac:dyDescent="0.35">
      <c r="A34" s="6">
        <v>32</v>
      </c>
      <c r="B34" s="7"/>
      <c r="C34" s="8">
        <v>2019</v>
      </c>
      <c r="D34" s="16">
        <v>130756461708</v>
      </c>
      <c r="E34" s="16">
        <v>210065429291</v>
      </c>
      <c r="F34" s="16">
        <f t="shared" si="7"/>
        <v>-79308967583</v>
      </c>
      <c r="G34" s="16">
        <v>1245144303719</v>
      </c>
      <c r="H34" s="4">
        <f>F34/G33</f>
        <v>-9.5102227209490034E-2</v>
      </c>
      <c r="I34" s="4">
        <f>1/G33</f>
        <v>1.1991358620317652E-12</v>
      </c>
      <c r="J34" s="16">
        <v>1084912780290</v>
      </c>
      <c r="K34" s="4">
        <f>(J34-J33)/G33</f>
        <v>0.30435117834388475</v>
      </c>
      <c r="L34" s="16">
        <v>926961764182</v>
      </c>
      <c r="M34" s="4">
        <f>L34/G33</f>
        <v>1.1115530941628684</v>
      </c>
      <c r="N34" s="55">
        <v>-2647819222.08285</v>
      </c>
      <c r="O34" s="53">
        <v>9.5000000000000001E-2</v>
      </c>
      <c r="P34" s="53">
        <v>-3.5000000000000003E-2</v>
      </c>
      <c r="Q34" s="16">
        <f>113534853636+9278595891</f>
        <v>122813449527</v>
      </c>
      <c r="R34" s="4">
        <f>SUM((N34*I34)+(O34*(((J34-J33)-(Q34-Q33))/G33))+(P34*M34))</f>
        <v>-1.6947876411815124E-2</v>
      </c>
      <c r="S34" s="4">
        <f>SUM(H34-R34)</f>
        <v>-7.815435079767491E-2</v>
      </c>
      <c r="U34" s="2">
        <v>32</v>
      </c>
      <c r="V34" s="4"/>
      <c r="W34" s="2">
        <v>2022</v>
      </c>
      <c r="X34" s="4">
        <v>3.4221651169905408E-2</v>
      </c>
    </row>
    <row r="35" spans="1:24" x14ac:dyDescent="0.35">
      <c r="A35" s="6">
        <v>33</v>
      </c>
      <c r="B35" s="9"/>
      <c r="C35" s="6">
        <v>2020</v>
      </c>
      <c r="D35" s="16">
        <v>132772234495</v>
      </c>
      <c r="E35" s="16">
        <v>226926314731</v>
      </c>
      <c r="F35" s="16">
        <f t="shared" si="7"/>
        <v>-94154080236</v>
      </c>
      <c r="G35" s="16">
        <v>1310940121622</v>
      </c>
      <c r="H35" s="4">
        <f t="shared" ref="H35:H37" si="38">F35/G34</f>
        <v>-7.5617002748019135E-2</v>
      </c>
      <c r="I35" s="4">
        <f t="shared" ref="I35:I37" si="39">1/G34</f>
        <v>8.0311976452303364E-13</v>
      </c>
      <c r="J35" s="16">
        <v>972634784176</v>
      </c>
      <c r="K35" s="4">
        <f t="shared" ref="K35:K37" si="40">(J35-J34)/G34</f>
        <v>-9.0172677800193765E-2</v>
      </c>
      <c r="L35" s="16">
        <v>993154588208</v>
      </c>
      <c r="M35" s="4">
        <f t="shared" ref="M35:M37" si="41">L35/G34</f>
        <v>0.79762207901657944</v>
      </c>
      <c r="N35" s="55">
        <v>-2647819222.08285</v>
      </c>
      <c r="O35" s="53">
        <v>9.5000000000000001E-2</v>
      </c>
      <c r="P35" s="53">
        <v>-3.5000000000000003E-2</v>
      </c>
      <c r="Q35" s="16">
        <f>111695585232+7611850597</f>
        <v>119307435829</v>
      </c>
      <c r="R35" s="4">
        <f t="shared" ref="R35:R37" si="42">SUM((N35*I35)+(O35*(((J35-J34)-(Q35-Q34))/G34))+(P35*M35))</f>
        <v>-3.8342196961659962E-2</v>
      </c>
      <c r="S35" s="4">
        <f t="shared" ref="S35:S37" si="43">SUM(H35-R35)</f>
        <v>-3.7274805786359173E-2</v>
      </c>
      <c r="U35" s="2">
        <v>33</v>
      </c>
      <c r="V35" s="3" t="s">
        <v>11</v>
      </c>
      <c r="W35" s="5">
        <v>2019</v>
      </c>
      <c r="X35" s="4">
        <v>3.8814008365972569E-2</v>
      </c>
    </row>
    <row r="36" spans="1:24" x14ac:dyDescent="0.35">
      <c r="A36" s="6">
        <v>34</v>
      </c>
      <c r="B36" s="9"/>
      <c r="C36" s="6">
        <v>2021</v>
      </c>
      <c r="D36" s="16">
        <v>180711667020</v>
      </c>
      <c r="E36" s="16">
        <v>232746845618</v>
      </c>
      <c r="F36" s="16">
        <f t="shared" si="7"/>
        <v>-52035178598</v>
      </c>
      <c r="G36" s="16">
        <v>1348181576913</v>
      </c>
      <c r="H36" s="4">
        <f t="shared" si="38"/>
        <v>-3.9693024677296407E-2</v>
      </c>
      <c r="I36" s="4">
        <f t="shared" si="39"/>
        <v>7.6281134699174508E-13</v>
      </c>
      <c r="J36" s="16">
        <v>1103519743574</v>
      </c>
      <c r="K36" s="4">
        <f t="shared" si="40"/>
        <v>9.9840532179348254E-2</v>
      </c>
      <c r="L36" s="16">
        <v>1027647313598</v>
      </c>
      <c r="M36" s="4">
        <f t="shared" si="41"/>
        <v>0.78390103151813872</v>
      </c>
      <c r="N36" s="55">
        <v>-2647819222.08285</v>
      </c>
      <c r="O36" s="53">
        <v>9.5000000000000001E-2</v>
      </c>
      <c r="P36" s="53">
        <v>-3.5000000000000003E-2</v>
      </c>
      <c r="Q36" s="16">
        <f>122437010846+3091954866</f>
        <v>125528965712</v>
      </c>
      <c r="R36" s="4">
        <f t="shared" si="42"/>
        <v>-2.0422328184572486E-2</v>
      </c>
      <c r="S36" s="4">
        <f t="shared" si="43"/>
        <v>-1.9270696492723921E-2</v>
      </c>
      <c r="U36" s="2">
        <v>34</v>
      </c>
      <c r="V36" s="4"/>
      <c r="W36" s="2">
        <v>2020</v>
      </c>
      <c r="X36" s="4">
        <v>-7.040665040138315E-2</v>
      </c>
    </row>
    <row r="37" spans="1:24" x14ac:dyDescent="0.35">
      <c r="A37" s="6">
        <v>35</v>
      </c>
      <c r="B37" s="9"/>
      <c r="C37" s="6">
        <v>2022</v>
      </c>
      <c r="D37" s="16">
        <v>195598848689</v>
      </c>
      <c r="E37" s="16">
        <v>190077226164</v>
      </c>
      <c r="F37" s="16">
        <f t="shared" si="7"/>
        <v>5521622525</v>
      </c>
      <c r="G37" s="16">
        <v>1693523611414</v>
      </c>
      <c r="H37" s="4">
        <f t="shared" si="38"/>
        <v>4.0956074608608289E-3</v>
      </c>
      <c r="I37" s="4">
        <f t="shared" si="39"/>
        <v>7.4173984953106315E-13</v>
      </c>
      <c r="J37" s="16">
        <v>1358708497805</v>
      </c>
      <c r="K37" s="4">
        <f t="shared" si="40"/>
        <v>0.18928366816532138</v>
      </c>
      <c r="L37" s="16">
        <v>1212528185222</v>
      </c>
      <c r="M37" s="4">
        <f t="shared" si="41"/>
        <v>0.8993804736587393</v>
      </c>
      <c r="N37" s="55">
        <v>-2647819222.08285</v>
      </c>
      <c r="O37" s="53">
        <v>9.5000000000000001E-2</v>
      </c>
      <c r="P37" s="53">
        <v>-3.5000000000000003E-2</v>
      </c>
      <c r="Q37" s="16">
        <f>189074877305+107823487</f>
        <v>189182700792</v>
      </c>
      <c r="R37" s="4">
        <f t="shared" si="42"/>
        <v>-1.9945739762354826E-2</v>
      </c>
      <c r="S37" s="4">
        <f t="shared" si="43"/>
        <v>2.4041347223215655E-2</v>
      </c>
      <c r="U37" s="2">
        <v>35</v>
      </c>
      <c r="V37" s="4"/>
      <c r="W37" s="2">
        <v>2021</v>
      </c>
      <c r="X37" s="4">
        <v>-0.12715730330806574</v>
      </c>
    </row>
    <row r="38" spans="1:24" x14ac:dyDescent="0.35">
      <c r="A38" s="6">
        <v>36</v>
      </c>
      <c r="B38" s="7" t="s">
        <v>10</v>
      </c>
      <c r="C38" s="8">
        <v>2018</v>
      </c>
      <c r="D38" s="15"/>
      <c r="E38" s="15"/>
      <c r="F38" s="16"/>
      <c r="G38" s="30">
        <v>6572440000000</v>
      </c>
      <c r="H38" s="4"/>
      <c r="I38" s="4"/>
      <c r="J38" s="29">
        <v>7390580000000</v>
      </c>
      <c r="K38" s="4"/>
      <c r="L38" s="29">
        <v>4206297000000</v>
      </c>
      <c r="M38" s="4"/>
      <c r="N38" s="55">
        <v>-2647819222.08285</v>
      </c>
      <c r="O38" s="53">
        <v>9.5000000000000001E-2</v>
      </c>
      <c r="P38" s="53">
        <v>-3.5000000000000003E-2</v>
      </c>
      <c r="Q38" s="29">
        <f>677765000000+14737000000</f>
        <v>692502000000</v>
      </c>
      <c r="R38" s="4"/>
      <c r="S38" s="4"/>
      <c r="U38" s="2">
        <v>36</v>
      </c>
      <c r="V38" s="4"/>
      <c r="W38" s="2">
        <v>2022</v>
      </c>
      <c r="X38" s="4">
        <v>2.4550529922549181E-2</v>
      </c>
    </row>
    <row r="39" spans="1:24" x14ac:dyDescent="0.35">
      <c r="A39" s="6">
        <v>37</v>
      </c>
      <c r="B39" s="7"/>
      <c r="C39" s="8">
        <v>2019</v>
      </c>
      <c r="D39" s="16">
        <v>-348863000000</v>
      </c>
      <c r="E39" s="16">
        <v>358866000000</v>
      </c>
      <c r="F39" s="16">
        <f t="shared" si="7"/>
        <v>-707729000000</v>
      </c>
      <c r="G39" s="16">
        <v>6000259000000</v>
      </c>
      <c r="H39" s="4">
        <f>F39/G38</f>
        <v>-0.10768131774500794</v>
      </c>
      <c r="I39" s="4">
        <f>1/G38</f>
        <v>1.5215049509771104E-13</v>
      </c>
      <c r="J39" s="16">
        <v>7175764000000</v>
      </c>
      <c r="K39" s="4">
        <f>(J39-J38)/G38</f>
        <v>-3.2684360754909894E-2</v>
      </c>
      <c r="L39" s="16">
        <v>4052936000000</v>
      </c>
      <c r="M39" s="4">
        <f>L39/G38</f>
        <v>0.61665621899933665</v>
      </c>
      <c r="N39" s="55">
        <v>-2647819222.08285</v>
      </c>
      <c r="O39" s="53">
        <v>9.5000000000000001E-2</v>
      </c>
      <c r="P39" s="53">
        <v>-3.5000000000000003E-2</v>
      </c>
      <c r="Q39" s="16">
        <f>505870000000</f>
        <v>505870000000</v>
      </c>
      <c r="R39" s="4">
        <f>SUM((N39*I39)+(O39*(((J39-J38)-(Q39-Q38))/G38))+(P39*M39))</f>
        <v>-2.2393214578160146E-2</v>
      </c>
      <c r="S39" s="4">
        <f>SUM(H39-R39)</f>
        <v>-8.528810316684779E-2</v>
      </c>
      <c r="U39" s="2">
        <v>37</v>
      </c>
      <c r="V39" s="3" t="s">
        <v>12</v>
      </c>
      <c r="W39" s="5">
        <v>2019</v>
      </c>
      <c r="X39" s="4">
        <v>-3.3458840985837263E-2</v>
      </c>
    </row>
    <row r="40" spans="1:24" x14ac:dyDescent="0.35">
      <c r="A40" s="6">
        <v>38</v>
      </c>
      <c r="B40" s="9"/>
      <c r="C40" s="6">
        <v>2020</v>
      </c>
      <c r="D40" s="16">
        <v>381422000000</v>
      </c>
      <c r="E40" s="16">
        <v>756892000000</v>
      </c>
      <c r="F40" s="16">
        <f t="shared" si="7"/>
        <v>-375470000000</v>
      </c>
      <c r="G40" s="16">
        <v>6326293000000</v>
      </c>
      <c r="H40" s="4">
        <f t="shared" ref="H40:H42" si="44">F40/G39</f>
        <v>-6.2575632151878779E-2</v>
      </c>
      <c r="I40" s="4">
        <f t="shared" ref="I40:I42" si="45">1/G39</f>
        <v>1.66659472532769E-13</v>
      </c>
      <c r="J40" s="16">
        <v>7573506000000</v>
      </c>
      <c r="K40" s="4">
        <f t="shared" ref="K40:K42" si="46">(J40-J39)/G39</f>
        <v>6.6287471924128608E-2</v>
      </c>
      <c r="L40" s="16">
        <v>4000926000000</v>
      </c>
      <c r="M40" s="4">
        <f t="shared" ref="M40:M42" si="47">L40/G39</f>
        <v>0.66679221680264134</v>
      </c>
      <c r="N40" s="55">
        <v>-2647819222.08285</v>
      </c>
      <c r="O40" s="53">
        <v>9.5000000000000001E-2</v>
      </c>
      <c r="P40" s="53">
        <v>-3.5000000000000003E-2</v>
      </c>
      <c r="Q40" s="16">
        <f>461222000000+16683000000</f>
        <v>477905000000</v>
      </c>
      <c r="R40" s="4">
        <f t="shared" ref="R40:R42" si="48">SUM((N40*I40)+(O40*(((J40-J39)-(Q40-Q39))/G39))+(P40*M40))</f>
        <v>-1.7038941856023691E-2</v>
      </c>
      <c r="S40" s="4">
        <f t="shared" ref="S40:S42" si="49">SUM(H40-R40)</f>
        <v>-4.5536690295855088E-2</v>
      </c>
      <c r="U40" s="2">
        <v>38</v>
      </c>
      <c r="V40" s="4"/>
      <c r="W40" s="2">
        <v>2020</v>
      </c>
      <c r="X40" s="4">
        <v>-4.4026538295178726E-2</v>
      </c>
    </row>
    <row r="41" spans="1:24" x14ac:dyDescent="0.35">
      <c r="A41" s="6">
        <v>39</v>
      </c>
      <c r="B41" s="9"/>
      <c r="C41" s="6">
        <v>2021</v>
      </c>
      <c r="D41" s="16">
        <v>2209313000000</v>
      </c>
      <c r="E41" s="16">
        <v>99209000000</v>
      </c>
      <c r="F41" s="16">
        <f t="shared" si="7"/>
        <v>2110104000000</v>
      </c>
      <c r="G41" s="16">
        <v>6444438000000</v>
      </c>
      <c r="H41" s="4">
        <f t="shared" si="44"/>
        <v>0.33354509505013441</v>
      </c>
      <c r="I41" s="4">
        <f t="shared" si="45"/>
        <v>1.5807045294930221E-13</v>
      </c>
      <c r="J41" s="16">
        <v>8028078000000</v>
      </c>
      <c r="K41" s="4">
        <f t="shared" si="46"/>
        <v>7.1854401938070203E-2</v>
      </c>
      <c r="L41" s="16">
        <v>3973981000000</v>
      </c>
      <c r="M41" s="4">
        <f t="shared" si="47"/>
        <v>0.62816897668192095</v>
      </c>
      <c r="N41" s="55">
        <v>-2647819222.08285</v>
      </c>
      <c r="O41" s="53">
        <v>9.5000000000000001E-2</v>
      </c>
      <c r="P41" s="53">
        <v>-3.5000000000000003E-2</v>
      </c>
      <c r="Q41" s="16">
        <f>523802000000+5245000000</f>
        <v>529047000000</v>
      </c>
      <c r="R41" s="4">
        <f t="shared" si="48"/>
        <v>-1.6346271698462728E-2</v>
      </c>
      <c r="S41" s="4">
        <f t="shared" si="49"/>
        <v>0.34989136674859711</v>
      </c>
      <c r="U41" s="2">
        <v>39</v>
      </c>
      <c r="V41" s="4"/>
      <c r="W41" s="2">
        <v>2021</v>
      </c>
      <c r="X41" s="4">
        <v>-1.1230331394317934E-2</v>
      </c>
    </row>
    <row r="42" spans="1:24" x14ac:dyDescent="0.35">
      <c r="A42" s="6">
        <v>40</v>
      </c>
      <c r="B42" s="9"/>
      <c r="C42" s="6">
        <v>2022</v>
      </c>
      <c r="D42" s="16">
        <v>373978000000</v>
      </c>
      <c r="E42" s="16">
        <v>284210000000</v>
      </c>
      <c r="F42" s="16">
        <f t="shared" si="7"/>
        <v>89768000000</v>
      </c>
      <c r="G42" s="16">
        <v>6833737000000</v>
      </c>
      <c r="H42" s="4">
        <f t="shared" si="44"/>
        <v>1.392953117091048E-2</v>
      </c>
      <c r="I42" s="4">
        <f t="shared" si="45"/>
        <v>1.551725689656724E-13</v>
      </c>
      <c r="J42" s="16">
        <v>8242343000000</v>
      </c>
      <c r="K42" s="4">
        <f t="shared" si="46"/>
        <v>3.3248050489429797E-2</v>
      </c>
      <c r="L42" s="16">
        <v>3971104000000</v>
      </c>
      <c r="M42" s="4">
        <f t="shared" si="47"/>
        <v>0.61620640930985759</v>
      </c>
      <c r="N42" s="55">
        <v>-2647819222.08285</v>
      </c>
      <c r="O42" s="53">
        <v>9.5000000000000001E-2</v>
      </c>
      <c r="P42" s="53">
        <v>-3.5000000000000003E-2</v>
      </c>
      <c r="Q42" s="16">
        <f>623433000000+5509000000</f>
        <v>628942000000</v>
      </c>
      <c r="R42" s="4">
        <f t="shared" si="48"/>
        <v>-2.0292119998994926E-2</v>
      </c>
      <c r="S42" s="4">
        <f t="shared" si="49"/>
        <v>3.4221651169905408E-2</v>
      </c>
      <c r="U42" s="2">
        <v>40</v>
      </c>
      <c r="V42" s="4"/>
      <c r="W42" s="2">
        <v>2022</v>
      </c>
      <c r="X42" s="4">
        <v>-2.2854578401792072E-2</v>
      </c>
    </row>
    <row r="43" spans="1:24" x14ac:dyDescent="0.35">
      <c r="A43" s="6">
        <v>41</v>
      </c>
      <c r="B43" s="7" t="s">
        <v>11</v>
      </c>
      <c r="C43" s="8">
        <v>2018</v>
      </c>
      <c r="D43" s="15"/>
      <c r="E43" s="15"/>
      <c r="F43" s="16"/>
      <c r="G43" s="16">
        <v>1523517170000</v>
      </c>
      <c r="H43" s="4"/>
      <c r="I43" s="4"/>
      <c r="J43" s="15">
        <v>893006350000</v>
      </c>
      <c r="K43" s="4"/>
      <c r="L43" s="15">
        <v>90191394000</v>
      </c>
      <c r="M43" s="4"/>
      <c r="N43" s="55">
        <v>-2647819222.08285</v>
      </c>
      <c r="O43" s="53">
        <v>9.5000000000000001E-2</v>
      </c>
      <c r="P43" s="53">
        <v>-3.5000000000000003E-2</v>
      </c>
      <c r="Q43" s="15">
        <f>292777000+156825348000</f>
        <v>157118125000</v>
      </c>
      <c r="R43" s="4"/>
      <c r="S43" s="4"/>
      <c r="U43" s="2">
        <v>41</v>
      </c>
      <c r="V43" s="3" t="s">
        <v>13</v>
      </c>
      <c r="W43" s="5">
        <v>2019</v>
      </c>
      <c r="X43" s="4">
        <v>6.052131520797404E-3</v>
      </c>
    </row>
    <row r="44" spans="1:24" x14ac:dyDescent="0.35">
      <c r="A44" s="6">
        <v>42</v>
      </c>
      <c r="B44" s="7"/>
      <c r="C44" s="8">
        <v>2019</v>
      </c>
      <c r="D44" s="16">
        <v>317815177000</v>
      </c>
      <c r="E44" s="16">
        <v>274364533000</v>
      </c>
      <c r="F44" s="16">
        <f t="shared" si="7"/>
        <v>43450644000</v>
      </c>
      <c r="G44" s="16">
        <v>1425983722000</v>
      </c>
      <c r="H44" s="4">
        <f>F44/G43</f>
        <v>2.8519956883715329E-2</v>
      </c>
      <c r="I44" s="4">
        <f>1/G43</f>
        <v>6.5637593043995688E-13</v>
      </c>
      <c r="J44" s="16">
        <v>827136727000</v>
      </c>
      <c r="K44" s="4">
        <f>(J44-J43)/G43</f>
        <v>-4.3235235084354187E-2</v>
      </c>
      <c r="L44" s="16">
        <v>85234517000</v>
      </c>
      <c r="M44" s="4">
        <f>L44/G43</f>
        <v>5.5945885401475326E-2</v>
      </c>
      <c r="N44" s="55">
        <v>-2647819222.08285</v>
      </c>
      <c r="O44" s="53">
        <v>9.5000000000000001E-2</v>
      </c>
      <c r="P44" s="53">
        <v>-3.5000000000000003E-2</v>
      </c>
      <c r="Q44" s="16">
        <f>197060469000</f>
        <v>197060469000</v>
      </c>
      <c r="R44" s="4">
        <f>SUM((N44*I44)+(O44*(((J44-J43)-(Q44-Q43))/G43))+(P44*M44))</f>
        <v>-1.0294051482257236E-2</v>
      </c>
      <c r="S44" s="4">
        <f>SUM(H44-R44)</f>
        <v>3.8814008365972569E-2</v>
      </c>
      <c r="U44" s="2">
        <v>42</v>
      </c>
      <c r="V44" s="4"/>
      <c r="W44" s="2">
        <v>2020</v>
      </c>
      <c r="X44" s="4">
        <v>-7.7180423694064235E-2</v>
      </c>
    </row>
    <row r="45" spans="1:24" x14ac:dyDescent="0.35">
      <c r="A45" s="6">
        <v>43</v>
      </c>
      <c r="B45" s="9"/>
      <c r="C45" s="6">
        <v>2020</v>
      </c>
      <c r="D45" s="16">
        <v>123465762000</v>
      </c>
      <c r="E45" s="16">
        <v>246905899000</v>
      </c>
      <c r="F45" s="16">
        <f t="shared" si="7"/>
        <v>-123440137000</v>
      </c>
      <c r="G45" s="16">
        <v>1225580913000</v>
      </c>
      <c r="H45" s="4">
        <f t="shared" ref="H45:H47" si="50">F45/G44</f>
        <v>-8.6564899090762551E-2</v>
      </c>
      <c r="I45" s="4">
        <f t="shared" ref="I45:I47" si="51">1/G44</f>
        <v>7.0127027719324835E-13</v>
      </c>
      <c r="J45" s="16">
        <v>546336411000</v>
      </c>
      <c r="K45" s="4">
        <f t="shared" ref="K45:K47" si="52">(J45-J44)/G44</f>
        <v>-0.19691691543727174</v>
      </c>
      <c r="L45" s="16">
        <v>79117279000</v>
      </c>
      <c r="M45" s="4">
        <f t="shared" ref="M45:M47" si="53">L45/G44</f>
        <v>5.5482596175105564E-2</v>
      </c>
      <c r="N45" s="55">
        <v>-2647819222.08285</v>
      </c>
      <c r="O45" s="53">
        <v>9.5000000000000001E-2</v>
      </c>
      <c r="P45" s="53">
        <v>-3.5000000000000003E-2</v>
      </c>
      <c r="Q45" s="16">
        <v>101780949000</v>
      </c>
      <c r="R45" s="4">
        <f t="shared" ref="R45:R47" si="54">SUM((N45*I45)+(O45*(((J45-J44)-(Q45-Q44))/G44))+(P45*M45))</f>
        <v>-1.6158248689379397E-2</v>
      </c>
      <c r="S45" s="4">
        <f t="shared" ref="S45:S47" si="55">SUM(H45-R45)</f>
        <v>-7.040665040138315E-2</v>
      </c>
      <c r="U45" s="2">
        <v>43</v>
      </c>
      <c r="V45" s="4"/>
      <c r="W45" s="2">
        <v>2021</v>
      </c>
      <c r="X45" s="4">
        <v>-2.9911588751072585E-2</v>
      </c>
    </row>
    <row r="46" spans="1:24" x14ac:dyDescent="0.35">
      <c r="A46" s="6">
        <v>44</v>
      </c>
      <c r="B46" s="9"/>
      <c r="C46" s="6">
        <v>2021</v>
      </c>
      <c r="D46" s="16">
        <v>187992998000</v>
      </c>
      <c r="E46" s="16">
        <v>335398629000</v>
      </c>
      <c r="F46" s="16">
        <f t="shared" si="7"/>
        <v>-147405631000</v>
      </c>
      <c r="G46" s="16">
        <v>1308722065000</v>
      </c>
      <c r="H46" s="4">
        <f t="shared" si="50"/>
        <v>-0.12027409160540671</v>
      </c>
      <c r="I46" s="4">
        <f t="shared" si="51"/>
        <v>8.1593960006457767E-13</v>
      </c>
      <c r="J46" s="16">
        <v>681205785000</v>
      </c>
      <c r="K46" s="4">
        <f t="shared" si="52"/>
        <v>0.11004526308251995</v>
      </c>
      <c r="L46" s="16">
        <v>84151006000</v>
      </c>
      <c r="M46" s="4">
        <f t="shared" si="53"/>
        <v>6.8662138180671878E-2</v>
      </c>
      <c r="N46" s="55">
        <v>-2647819222.08285</v>
      </c>
      <c r="O46" s="53">
        <v>9.5000000000000001E-2</v>
      </c>
      <c r="P46" s="53">
        <v>-3.5000000000000003E-2</v>
      </c>
      <c r="Q46" s="16">
        <f>170881000+88805365000</f>
        <v>88976246000</v>
      </c>
      <c r="R46" s="4">
        <f t="shared" si="54"/>
        <v>6.8832117026590397E-3</v>
      </c>
      <c r="S46" s="4">
        <f t="shared" si="55"/>
        <v>-0.12715730330806574</v>
      </c>
      <c r="U46" s="2">
        <v>44</v>
      </c>
      <c r="V46" s="4"/>
      <c r="W46" s="2">
        <v>2022</v>
      </c>
      <c r="X46" s="4">
        <v>-2.0740458700204009E-2</v>
      </c>
    </row>
    <row r="47" spans="1:24" x14ac:dyDescent="0.35">
      <c r="A47" s="6">
        <v>45</v>
      </c>
      <c r="B47" s="9"/>
      <c r="C47" s="6">
        <v>2022</v>
      </c>
      <c r="D47" s="16">
        <v>230065807000</v>
      </c>
      <c r="E47" s="16">
        <v>196829126000</v>
      </c>
      <c r="F47" s="16">
        <f t="shared" si="7"/>
        <v>33236681000</v>
      </c>
      <c r="G47" s="16">
        <v>1307186367000</v>
      </c>
      <c r="H47" s="4">
        <f t="shared" si="50"/>
        <v>2.5396286873179602E-2</v>
      </c>
      <c r="I47" s="4">
        <f t="shared" si="51"/>
        <v>7.6410417975187114E-13</v>
      </c>
      <c r="J47" s="16">
        <v>778744315000</v>
      </c>
      <c r="K47" s="4">
        <f t="shared" si="52"/>
        <v>7.4529598459853283E-2</v>
      </c>
      <c r="L47" s="16">
        <v>83554198000</v>
      </c>
      <c r="M47" s="4">
        <f t="shared" si="53"/>
        <v>6.3844111927615438E-2</v>
      </c>
      <c r="N47" s="55">
        <v>-2647819222.08285</v>
      </c>
      <c r="O47" s="53">
        <v>9.5000000000000001E-2</v>
      </c>
      <c r="P47" s="53">
        <v>-3.5000000000000003E-2</v>
      </c>
      <c r="Q47" s="16">
        <f>209122000+115999581000</f>
        <v>116208703000</v>
      </c>
      <c r="R47" s="4">
        <f t="shared" si="54"/>
        <v>8.457569506304225E-4</v>
      </c>
      <c r="S47" s="4">
        <f t="shared" si="55"/>
        <v>2.4550529922549181E-2</v>
      </c>
      <c r="U47" s="2">
        <v>45</v>
      </c>
      <c r="V47" s="3" t="s">
        <v>14</v>
      </c>
      <c r="W47" s="5">
        <v>2019</v>
      </c>
      <c r="X47" s="4">
        <v>-1.1426293331853682E-2</v>
      </c>
    </row>
    <row r="48" spans="1:24" x14ac:dyDescent="0.35">
      <c r="A48" s="6">
        <v>46</v>
      </c>
      <c r="B48" s="7" t="s">
        <v>12</v>
      </c>
      <c r="C48" s="8">
        <v>2018</v>
      </c>
      <c r="D48" s="15"/>
      <c r="E48" s="15"/>
      <c r="F48" s="16"/>
      <c r="G48" s="16">
        <v>11738892000000</v>
      </c>
      <c r="H48" s="4"/>
      <c r="I48" s="4"/>
      <c r="J48" s="15">
        <v>4761805000000</v>
      </c>
      <c r="K48" s="4"/>
      <c r="L48" s="15">
        <v>2998657000000</v>
      </c>
      <c r="M48" s="4"/>
      <c r="N48" s="55">
        <v>-2647819222.08285</v>
      </c>
      <c r="O48" s="53">
        <v>9.5000000000000001E-2</v>
      </c>
      <c r="P48" s="53">
        <v>-3.5000000000000003E-2</v>
      </c>
      <c r="Q48" s="15">
        <f>388635000000+10493000000</f>
        <v>399128000000</v>
      </c>
      <c r="R48" s="4"/>
      <c r="S48" s="4"/>
      <c r="U48" s="2">
        <v>46</v>
      </c>
      <c r="V48" s="4"/>
      <c r="W48" s="2">
        <v>2020</v>
      </c>
      <c r="X48" s="4">
        <v>2.4439107272737029E-2</v>
      </c>
    </row>
    <row r="49" spans="1:24" x14ac:dyDescent="0.35">
      <c r="A49" s="6">
        <v>47</v>
      </c>
      <c r="B49" s="7"/>
      <c r="C49" s="8">
        <v>2019</v>
      </c>
      <c r="D49" s="16">
        <v>178164000000</v>
      </c>
      <c r="E49" s="16">
        <v>587071000000</v>
      </c>
      <c r="F49" s="16">
        <f t="shared" si="7"/>
        <v>-408907000000</v>
      </c>
      <c r="G49" s="16">
        <v>11620821000000</v>
      </c>
      <c r="H49" s="4">
        <f>F49/G48</f>
        <v>-3.4833526026136027E-2</v>
      </c>
      <c r="I49" s="4">
        <f>1/G48</f>
        <v>8.5186915426089619E-14</v>
      </c>
      <c r="J49" s="16">
        <v>5736684000000</v>
      </c>
      <c r="K49" s="4">
        <f>(J49-J48)/G48</f>
        <v>8.3046934923670823E-2</v>
      </c>
      <c r="L49" s="16">
        <v>3151121000000</v>
      </c>
      <c r="M49" s="4">
        <f>L49/G48</f>
        <v>0.26843427812437493</v>
      </c>
      <c r="N49" s="55">
        <v>-2647819222.08285</v>
      </c>
      <c r="O49" s="53">
        <v>9.5000000000000001E-2</v>
      </c>
      <c r="P49" s="53">
        <v>-3.5000000000000003E-2</v>
      </c>
      <c r="Q49" s="16">
        <f>349569000000+5493000000</f>
        <v>355062000000</v>
      </c>
      <c r="R49" s="4">
        <f>SUM((N49*I49)+(O49*(((J49-J48)-(Q49-Q48))/G48))+(P49*M49))</f>
        <v>-1.3746850402987666E-3</v>
      </c>
      <c r="S49" s="4">
        <f>SUM(H49-R49)</f>
        <v>-3.3458840985837263E-2</v>
      </c>
      <c r="U49" s="2">
        <v>47</v>
      </c>
      <c r="V49" s="4"/>
      <c r="W49" s="2">
        <v>2021</v>
      </c>
      <c r="X49" s="4">
        <v>4.6950936350458931E-2</v>
      </c>
    </row>
    <row r="50" spans="1:24" x14ac:dyDescent="0.35">
      <c r="A50" s="6">
        <v>48</v>
      </c>
      <c r="B50" s="9"/>
      <c r="C50" s="6">
        <v>2020</v>
      </c>
      <c r="D50" s="16">
        <v>478171000000</v>
      </c>
      <c r="E50" s="16">
        <v>1094406000000</v>
      </c>
      <c r="F50" s="16">
        <f t="shared" si="7"/>
        <v>-616235000000</v>
      </c>
      <c r="G50" s="16">
        <v>14151383000000</v>
      </c>
      <c r="H50" s="4">
        <f t="shared" ref="H50:H52" si="56">F50/G49</f>
        <v>-5.3028525265125415E-2</v>
      </c>
      <c r="I50" s="4">
        <f t="shared" ref="I50:I52" si="57">1/G49</f>
        <v>8.6052439840524182E-14</v>
      </c>
      <c r="J50" s="16">
        <v>6698918000000</v>
      </c>
      <c r="K50" s="4">
        <f t="shared" ref="K50:K52" si="58">(J50-J49)/G49</f>
        <v>8.2802583397506943E-2</v>
      </c>
      <c r="L50" s="16">
        <v>5452520000000</v>
      </c>
      <c r="M50" s="4">
        <f t="shared" ref="M50:M52" si="59">L50/G49</f>
        <v>0.46920264927925487</v>
      </c>
      <c r="N50" s="55">
        <v>-2647819222.08285</v>
      </c>
      <c r="O50" s="53">
        <v>9.5000000000000001E-2</v>
      </c>
      <c r="P50" s="53">
        <v>-3.5000000000000003E-2</v>
      </c>
      <c r="Q50" s="16">
        <v>381764000000</v>
      </c>
      <c r="R50" s="4">
        <f t="shared" ref="R50:R52" si="60">SUM((N50*I50)+(O50*(((J50-J49)-(Q50-Q49))/G49))+(P50*M50))</f>
        <v>-9.001986969946689E-3</v>
      </c>
      <c r="S50" s="4">
        <f t="shared" ref="S50:S52" si="61">SUM(H50-R50)</f>
        <v>-4.4026538295178726E-2</v>
      </c>
      <c r="U50" s="2">
        <v>48</v>
      </c>
      <c r="V50" s="4"/>
      <c r="W50" s="2">
        <v>2022</v>
      </c>
      <c r="X50" s="4">
        <v>-0.20592422296853197</v>
      </c>
    </row>
    <row r="51" spans="1:24" x14ac:dyDescent="0.35">
      <c r="A51" s="6">
        <v>49</v>
      </c>
      <c r="B51" s="9"/>
      <c r="C51" s="6">
        <v>2021</v>
      </c>
      <c r="D51" s="16">
        <v>739649000000</v>
      </c>
      <c r="E51" s="16">
        <v>1055505000000</v>
      </c>
      <c r="F51" s="16">
        <f t="shared" si="7"/>
        <v>-315856000000</v>
      </c>
      <c r="G51" s="16">
        <v>13712160000000</v>
      </c>
      <c r="H51" s="4">
        <f t="shared" si="56"/>
        <v>-2.2319797294723772E-2</v>
      </c>
      <c r="I51" s="4">
        <f t="shared" si="57"/>
        <v>7.0664471451306208E-14</v>
      </c>
      <c r="J51" s="16">
        <v>7124495000000</v>
      </c>
      <c r="K51" s="4">
        <f t="shared" si="58"/>
        <v>3.0073173766832544E-2</v>
      </c>
      <c r="L51" s="16">
        <v>5921799000000</v>
      </c>
      <c r="M51" s="4">
        <f t="shared" si="59"/>
        <v>0.41846079637587363</v>
      </c>
      <c r="N51" s="55">
        <v>-2647819222.08285</v>
      </c>
      <c r="O51" s="53">
        <v>9.5000000000000001E-2</v>
      </c>
      <c r="P51" s="53">
        <v>-3.5000000000000003E-2</v>
      </c>
      <c r="Q51" s="16">
        <v>249662000000</v>
      </c>
      <c r="R51" s="4">
        <f t="shared" si="60"/>
        <v>-1.1089465900405838E-2</v>
      </c>
      <c r="S51" s="4">
        <f t="shared" si="61"/>
        <v>-1.1230331394317934E-2</v>
      </c>
      <c r="U51" s="2">
        <v>49</v>
      </c>
      <c r="V51" s="3" t="s">
        <v>15</v>
      </c>
      <c r="W51" s="5">
        <v>2019</v>
      </c>
      <c r="X51" s="4">
        <v>-5.8628902888112872E-2</v>
      </c>
    </row>
    <row r="52" spans="1:24" x14ac:dyDescent="0.35">
      <c r="A52" s="6">
        <v>50</v>
      </c>
      <c r="B52" s="9"/>
      <c r="C52" s="6">
        <v>2022</v>
      </c>
      <c r="D52" s="16">
        <v>1206587000000</v>
      </c>
      <c r="E52" s="16">
        <v>1538027000000</v>
      </c>
      <c r="F52" s="16">
        <f t="shared" si="7"/>
        <v>-331440000000</v>
      </c>
      <c r="G52" s="16">
        <v>15357229000000</v>
      </c>
      <c r="H52" s="4">
        <f t="shared" si="56"/>
        <v>-2.41712465432142E-2</v>
      </c>
      <c r="I52" s="4">
        <f t="shared" si="57"/>
        <v>7.292797050209449E-14</v>
      </c>
      <c r="J52" s="16">
        <v>9633671000000</v>
      </c>
      <c r="K52" s="4">
        <f t="shared" si="58"/>
        <v>0.18298911331256346</v>
      </c>
      <c r="L52" s="16">
        <v>6678723000000</v>
      </c>
      <c r="M52" s="4">
        <f t="shared" si="59"/>
        <v>0.48706571393566001</v>
      </c>
      <c r="N52" s="55">
        <v>-2647819222.08285</v>
      </c>
      <c r="O52" s="53">
        <v>9.5000000000000001E-2</v>
      </c>
      <c r="P52" s="53">
        <v>-3.5000000000000003E-2</v>
      </c>
      <c r="Q52" s="16">
        <v>460430000000</v>
      </c>
      <c r="R52" s="4">
        <f t="shared" si="60"/>
        <v>-1.3166681414221275E-3</v>
      </c>
      <c r="S52" s="4">
        <f t="shared" si="61"/>
        <v>-2.2854578401792072E-2</v>
      </c>
      <c r="U52" s="2">
        <v>50</v>
      </c>
      <c r="V52" s="4"/>
      <c r="W52" s="2">
        <v>2020</v>
      </c>
      <c r="X52" s="4">
        <v>-4.5071416811414355E-2</v>
      </c>
    </row>
    <row r="53" spans="1:24" x14ac:dyDescent="0.35">
      <c r="A53" s="6">
        <v>51</v>
      </c>
      <c r="B53" s="7" t="s">
        <v>13</v>
      </c>
      <c r="C53" s="8">
        <v>2018</v>
      </c>
      <c r="D53" s="15"/>
      <c r="E53" s="15"/>
      <c r="F53" s="16"/>
      <c r="G53" s="16">
        <v>4212408305683</v>
      </c>
      <c r="H53" s="4"/>
      <c r="I53" s="4"/>
      <c r="J53" s="15">
        <v>8048946664266</v>
      </c>
      <c r="K53" s="4"/>
      <c r="L53" s="15">
        <v>2280734909765</v>
      </c>
      <c r="M53" s="4"/>
      <c r="N53" s="55">
        <v>-2647819222.08285</v>
      </c>
      <c r="O53" s="53">
        <v>9.5000000000000001E-2</v>
      </c>
      <c r="P53" s="53">
        <v>-3.5000000000000003E-2</v>
      </c>
      <c r="Q53" s="15">
        <f>5910672406+437761876903</f>
        <v>443672549309</v>
      </c>
      <c r="R53" s="4"/>
      <c r="S53" s="4"/>
      <c r="U53" s="2">
        <v>51</v>
      </c>
      <c r="V53" s="4"/>
      <c r="W53" s="2">
        <v>2021</v>
      </c>
      <c r="X53" s="4">
        <v>-4.2151011784186797E-3</v>
      </c>
    </row>
    <row r="54" spans="1:24" x14ac:dyDescent="0.35">
      <c r="A54" s="6">
        <v>52</v>
      </c>
      <c r="B54" s="7"/>
      <c r="C54" s="8">
        <v>2019</v>
      </c>
      <c r="D54" s="16">
        <v>435766359480</v>
      </c>
      <c r="E54" s="16">
        <v>474666272987</v>
      </c>
      <c r="F54" s="16">
        <f t="shared" si="7"/>
        <v>-38899913507</v>
      </c>
      <c r="G54" s="16">
        <v>5063067672414</v>
      </c>
      <c r="H54" s="4">
        <f>F54/G53</f>
        <v>-9.2346018439190131E-3</v>
      </c>
      <c r="I54" s="4">
        <f>1/G53</f>
        <v>2.3739389143518937E-13</v>
      </c>
      <c r="J54" s="16">
        <v>8438631355699</v>
      </c>
      <c r="K54" s="4">
        <f>(J54-J53)/G53</f>
        <v>9.2508765332000864E-2</v>
      </c>
      <c r="L54" s="16">
        <v>2715366689138</v>
      </c>
      <c r="M54" s="4">
        <f>L54/G53</f>
        <v>0.64461146500795596</v>
      </c>
      <c r="N54" s="55">
        <v>-2647819222.08285</v>
      </c>
      <c r="O54" s="53">
        <v>9.5000000000000001E-2</v>
      </c>
      <c r="P54" s="53">
        <v>-3.5000000000000003E-2</v>
      </c>
      <c r="Q54" s="16">
        <f>19280155451+463638235295</f>
        <v>482918390746</v>
      </c>
      <c r="R54" s="4">
        <f>SUM((N54*I54)+(O54*(((J54-J53)-(Q54-Q53))/G53))+(P54*M54))</f>
        <v>-1.5286733364716417E-2</v>
      </c>
      <c r="S54" s="4">
        <f>SUM(H54-R54)</f>
        <v>6.052131520797404E-3</v>
      </c>
      <c r="U54" s="2">
        <v>52</v>
      </c>
      <c r="V54" s="4"/>
      <c r="W54" s="2">
        <v>2022</v>
      </c>
      <c r="X54" s="4">
        <v>-2.7841676414155421E-2</v>
      </c>
    </row>
    <row r="55" spans="1:24" x14ac:dyDescent="0.35">
      <c r="A55" s="6">
        <v>53</v>
      </c>
      <c r="B55" s="9"/>
      <c r="C55" s="6">
        <v>2020</v>
      </c>
      <c r="D55" s="16">
        <v>245103761907</v>
      </c>
      <c r="E55" s="16">
        <v>823166102577</v>
      </c>
      <c r="F55" s="16">
        <f t="shared" si="7"/>
        <v>-578062340670</v>
      </c>
      <c r="G55" s="16">
        <v>6570969641033</v>
      </c>
      <c r="H55" s="4">
        <f t="shared" ref="H55:H57" si="62">F55/G54</f>
        <v>-0.11417235124459396</v>
      </c>
      <c r="I55" s="4">
        <f t="shared" ref="I55:I57" si="63">1/G54</f>
        <v>1.9750871698762302E-13</v>
      </c>
      <c r="J55" s="16">
        <v>7711334590144</v>
      </c>
      <c r="K55" s="4">
        <f t="shared" ref="K55:K57" si="64">(J55-J54)/G54</f>
        <v>-0.1436474510340161</v>
      </c>
      <c r="L55" s="16">
        <v>3217662289685</v>
      </c>
      <c r="M55" s="4">
        <f t="shared" ref="M55:M57" si="65">L55/G54</f>
        <v>0.63551635053514177</v>
      </c>
      <c r="N55" s="55">
        <v>-2647819222.08285</v>
      </c>
      <c r="O55" s="53">
        <v>9.5000000000000001E-2</v>
      </c>
      <c r="P55" s="53">
        <v>-3.5000000000000003E-2</v>
      </c>
      <c r="Q55" s="16">
        <f>20537613610+493259097479</f>
        <v>513796711089</v>
      </c>
      <c r="R55" s="4">
        <f t="shared" ref="R55:R57" si="66">SUM((N55*I55)+(O55*(((J55-J54)-(Q55-Q54))/G54))+(P55*M55))</f>
        <v>-3.6991927550529727E-2</v>
      </c>
      <c r="S55" s="4">
        <f t="shared" ref="S55:S57" si="67">SUM(H55-R55)</f>
        <v>-7.7180423694064235E-2</v>
      </c>
      <c r="U55" s="2">
        <v>53</v>
      </c>
      <c r="V55" s="3" t="s">
        <v>16</v>
      </c>
      <c r="W55" s="5">
        <v>2019</v>
      </c>
      <c r="X55" s="4">
        <v>-6.4586363829747237E-2</v>
      </c>
    </row>
    <row r="56" spans="1:24" x14ac:dyDescent="0.35">
      <c r="A56" s="6">
        <v>54</v>
      </c>
      <c r="B56" s="9"/>
      <c r="C56" s="6">
        <v>2021</v>
      </c>
      <c r="D56" s="16">
        <v>492637672186</v>
      </c>
      <c r="E56" s="16">
        <v>709767241234</v>
      </c>
      <c r="F56" s="16">
        <f t="shared" si="7"/>
        <v>-217129569048</v>
      </c>
      <c r="G56" s="16">
        <v>6766602280143</v>
      </c>
      <c r="H56" s="4">
        <f t="shared" si="62"/>
        <v>-3.3043763844549705E-2</v>
      </c>
      <c r="I56" s="4">
        <f t="shared" si="63"/>
        <v>1.5218454119090913E-13</v>
      </c>
      <c r="J56" s="16">
        <v>8799579901024</v>
      </c>
      <c r="K56" s="4">
        <f t="shared" si="64"/>
        <v>0.16561411333943107</v>
      </c>
      <c r="L56" s="16">
        <v>3194026759059</v>
      </c>
      <c r="M56" s="4">
        <f t="shared" si="65"/>
        <v>0.48608149687888041</v>
      </c>
      <c r="N56" s="55">
        <v>-2647819222.08285</v>
      </c>
      <c r="O56" s="53">
        <v>9.5000000000000001E-2</v>
      </c>
      <c r="P56" s="53">
        <v>-3.5000000000000003E-2</v>
      </c>
      <c r="Q56" s="16">
        <f>52716292757+561353851954</f>
        <v>614070144711</v>
      </c>
      <c r="R56" s="4">
        <f t="shared" si="66"/>
        <v>-3.1321750934771193E-3</v>
      </c>
      <c r="S56" s="4">
        <f t="shared" si="67"/>
        <v>-2.9911588751072585E-2</v>
      </c>
      <c r="U56" s="2">
        <v>54</v>
      </c>
      <c r="V56" s="4"/>
      <c r="W56" s="2">
        <v>2020</v>
      </c>
      <c r="X56" s="4">
        <v>-4.0401287411986252E-2</v>
      </c>
    </row>
    <row r="57" spans="1:24" x14ac:dyDescent="0.35">
      <c r="A57" s="6">
        <v>55</v>
      </c>
      <c r="B57" s="9"/>
      <c r="C57" s="6">
        <v>2022</v>
      </c>
      <c r="D57" s="16">
        <v>521714035585</v>
      </c>
      <c r="E57" s="16">
        <v>622229731268</v>
      </c>
      <c r="F57" s="16">
        <f t="shared" si="7"/>
        <v>-100515695683</v>
      </c>
      <c r="G57" s="16">
        <v>7327371934290</v>
      </c>
      <c r="H57" s="4">
        <f t="shared" si="62"/>
        <v>-1.4854677653801131E-2</v>
      </c>
      <c r="I57" s="4">
        <f t="shared" si="63"/>
        <v>1.4778465743945968E-13</v>
      </c>
      <c r="J57" s="16">
        <v>10510942813705</v>
      </c>
      <c r="K57" s="4">
        <f t="shared" si="64"/>
        <v>0.25291318180515754</v>
      </c>
      <c r="L57" s="16">
        <v>3176839184209</v>
      </c>
      <c r="M57" s="4">
        <f t="shared" si="65"/>
        <v>0.4694880905785796</v>
      </c>
      <c r="N57" s="55">
        <v>-2647819222.08285</v>
      </c>
      <c r="O57" s="53">
        <v>9.5000000000000001E-2</v>
      </c>
      <c r="P57" s="53">
        <v>-3.5000000000000003E-2</v>
      </c>
      <c r="Q57" s="16">
        <f>73660985484+634257018030</f>
        <v>707918003514</v>
      </c>
      <c r="R57" s="4">
        <f t="shared" si="66"/>
        <v>5.8857810464028777E-3</v>
      </c>
      <c r="S57" s="4">
        <f t="shared" si="67"/>
        <v>-2.0740458700204009E-2</v>
      </c>
      <c r="U57" s="2">
        <v>55</v>
      </c>
      <c r="V57" s="4"/>
      <c r="W57" s="2">
        <v>2021</v>
      </c>
      <c r="X57" s="4">
        <v>-2.0741046448349537E-2</v>
      </c>
    </row>
    <row r="58" spans="1:24" x14ac:dyDescent="0.35">
      <c r="A58" s="6">
        <v>56</v>
      </c>
      <c r="B58" s="7" t="s">
        <v>14</v>
      </c>
      <c r="C58" s="8">
        <v>2018</v>
      </c>
      <c r="D58" s="15"/>
      <c r="E58" s="15"/>
      <c r="F58" s="16"/>
      <c r="G58" s="16">
        <v>758846556031</v>
      </c>
      <c r="H58" s="4"/>
      <c r="I58" s="4"/>
      <c r="J58" s="15">
        <v>1430785280985</v>
      </c>
      <c r="K58" s="4"/>
      <c r="L58" s="15">
        <v>263407043489</v>
      </c>
      <c r="M58" s="4"/>
      <c r="N58" s="55">
        <v>-2647819222.08285</v>
      </c>
      <c r="O58" s="53">
        <v>9.5000000000000001E-2</v>
      </c>
      <c r="P58" s="53">
        <v>-3.5000000000000003E-2</v>
      </c>
      <c r="Q58" s="15">
        <f>261411713631+55639360</f>
        <v>261467352991</v>
      </c>
      <c r="R58" s="4"/>
      <c r="S58" s="4"/>
      <c r="U58" s="2">
        <v>56</v>
      </c>
      <c r="V58" s="4"/>
      <c r="W58" s="2">
        <v>2022</v>
      </c>
      <c r="X58" s="4">
        <v>-2.0984700139062094E-2</v>
      </c>
    </row>
    <row r="59" spans="1:24" x14ac:dyDescent="0.35">
      <c r="A59" s="6">
        <v>57</v>
      </c>
      <c r="B59" s="7"/>
      <c r="C59" s="8">
        <v>2019</v>
      </c>
      <c r="D59" s="16">
        <v>103723133972</v>
      </c>
      <c r="E59" s="16">
        <v>105224199992</v>
      </c>
      <c r="F59" s="16">
        <f t="shared" si="7"/>
        <v>-1501066020</v>
      </c>
      <c r="G59" s="16">
        <v>848676035300</v>
      </c>
      <c r="H59" s="4">
        <f>F59/G58</f>
        <v>-1.9780889931833323E-3</v>
      </c>
      <c r="I59" s="4">
        <f>1/G58</f>
        <v>1.3177894688358427E-12</v>
      </c>
      <c r="J59" s="16">
        <v>1653031823505</v>
      </c>
      <c r="K59" s="4">
        <f>(J59-J58)/G58</f>
        <v>0.29287415321803334</v>
      </c>
      <c r="L59" s="16">
        <v>353945662234</v>
      </c>
      <c r="M59" s="4">
        <f>L59/G58</f>
        <v>0.46642586623209342</v>
      </c>
      <c r="N59" s="55">
        <v>-2647819222.08285</v>
      </c>
      <c r="O59" s="53">
        <v>9.5000000000000001E-2</v>
      </c>
      <c r="P59" s="53">
        <v>-3.5000000000000003E-2</v>
      </c>
      <c r="Q59" s="16">
        <v>249970161581</v>
      </c>
      <c r="R59" s="4">
        <f>SUM((N59*I59)+(O59*(((J59-J58)-(Q59-Q58))/G58))+(P59*M59))</f>
        <v>9.4482043386703504E-3</v>
      </c>
      <c r="S59" s="4">
        <f>SUM(H59-R59)</f>
        <v>-1.1426293331853682E-2</v>
      </c>
      <c r="U59" s="2">
        <v>57</v>
      </c>
      <c r="V59" s="3" t="s">
        <v>17</v>
      </c>
      <c r="W59" s="5">
        <v>2019</v>
      </c>
      <c r="X59" s="4">
        <v>-5.8337894969967535E-3</v>
      </c>
    </row>
    <row r="60" spans="1:24" x14ac:dyDescent="0.35">
      <c r="A60" s="6">
        <v>58</v>
      </c>
      <c r="B60" s="9"/>
      <c r="C60" s="6">
        <v>2020</v>
      </c>
      <c r="D60" s="16">
        <v>38038419405</v>
      </c>
      <c r="E60" s="16">
        <v>78181287748</v>
      </c>
      <c r="F60" s="16">
        <f t="shared" si="7"/>
        <v>-40142868343</v>
      </c>
      <c r="G60" s="16">
        <v>906924214166</v>
      </c>
      <c r="H60" s="4">
        <f t="shared" ref="H60:H62" si="68">F60/G59</f>
        <v>-4.7300579577235061E-2</v>
      </c>
      <c r="I60" s="4">
        <f t="shared" ref="I60:I62" si="69">1/G59</f>
        <v>1.1783059240579454E-12</v>
      </c>
      <c r="J60" s="16">
        <v>1173189488886</v>
      </c>
      <c r="K60" s="4">
        <f t="shared" ref="K60:K62" si="70">(J60-J59)/G59</f>
        <v>-0.56540106549536262</v>
      </c>
      <c r="L60" s="16">
        <v>379776240198</v>
      </c>
      <c r="M60" s="4">
        <f t="shared" ref="M60:M62" si="71">L60/G59</f>
        <v>0.44749259364175664</v>
      </c>
      <c r="N60" s="55">
        <v>-2647819222.08285</v>
      </c>
      <c r="O60" s="53">
        <v>9.5000000000000001E-2</v>
      </c>
      <c r="P60" s="53">
        <v>-3.5000000000000003E-2</v>
      </c>
      <c r="Q60" s="16">
        <v>243220094125</v>
      </c>
      <c r="R60" s="4">
        <f t="shared" ref="R60:R62" si="72">SUM((N60*I60)+(O60*(((J60-J59)-(Q60-Q59))/G59))+(P60*M60))</f>
        <v>-7.173968684997209E-2</v>
      </c>
      <c r="S60" s="4">
        <f t="shared" ref="S60:S62" si="73">SUM(H60-R60)</f>
        <v>2.4439107272737029E-2</v>
      </c>
      <c r="U60" s="2">
        <v>58</v>
      </c>
      <c r="V60" s="4"/>
      <c r="W60" s="2">
        <v>2020</v>
      </c>
      <c r="X60" s="4">
        <v>-8.7538958476926082E-2</v>
      </c>
    </row>
    <row r="61" spans="1:24" x14ac:dyDescent="0.35">
      <c r="A61" s="6">
        <v>59</v>
      </c>
      <c r="B61" s="9"/>
      <c r="C61" s="6">
        <v>2021</v>
      </c>
      <c r="D61" s="16">
        <v>11844682161</v>
      </c>
      <c r="E61" s="16">
        <v>13844364441</v>
      </c>
      <c r="F61" s="16">
        <f t="shared" si="7"/>
        <v>-1999682280</v>
      </c>
      <c r="G61" s="16">
        <v>987563580363</v>
      </c>
      <c r="H61" s="4">
        <f t="shared" si="68"/>
        <v>-2.2049056015544708E-3</v>
      </c>
      <c r="I61" s="4">
        <f t="shared" si="69"/>
        <v>1.1026279642556371E-12</v>
      </c>
      <c r="J61" s="16">
        <v>933597187584</v>
      </c>
      <c r="K61" s="4">
        <f t="shared" si="70"/>
        <v>-0.26418117143594749</v>
      </c>
      <c r="L61" s="16">
        <v>442033942721</v>
      </c>
      <c r="M61" s="4">
        <f t="shared" si="71"/>
        <v>0.48739898639434914</v>
      </c>
      <c r="N61" s="55">
        <v>-2647819222.08285</v>
      </c>
      <c r="O61" s="53">
        <v>9.5000000000000001E-2</v>
      </c>
      <c r="P61" s="53">
        <v>-3.5000000000000003E-2</v>
      </c>
      <c r="Q61" s="16">
        <v>282171120367</v>
      </c>
      <c r="R61" s="4">
        <f t="shared" si="72"/>
        <v>-4.9155841952013404E-2</v>
      </c>
      <c r="S61" s="4">
        <f t="shared" si="73"/>
        <v>4.6950936350458931E-2</v>
      </c>
      <c r="U61" s="2">
        <v>59</v>
      </c>
      <c r="V61" s="4"/>
      <c r="W61" s="2">
        <v>2021</v>
      </c>
      <c r="X61" s="4">
        <v>4.3457846566941238E-2</v>
      </c>
    </row>
    <row r="62" spans="1:24" x14ac:dyDescent="0.35">
      <c r="A62" s="6">
        <v>60</v>
      </c>
      <c r="B62" s="9"/>
      <c r="C62" s="6">
        <v>2022</v>
      </c>
      <c r="D62" s="16">
        <v>90572477</v>
      </c>
      <c r="E62" s="16">
        <v>208500977805</v>
      </c>
      <c r="F62" s="16">
        <f t="shared" si="7"/>
        <v>-208410405328</v>
      </c>
      <c r="G62" s="16">
        <v>811603660216</v>
      </c>
      <c r="H62" s="4">
        <f t="shared" si="68"/>
        <v>-0.21103492420345668</v>
      </c>
      <c r="I62" s="4">
        <f t="shared" si="69"/>
        <v>1.012593031865785E-12</v>
      </c>
      <c r="J62" s="16">
        <v>925708985640</v>
      </c>
      <c r="K62" s="4">
        <f t="shared" si="70"/>
        <v>-7.9875383224445387E-3</v>
      </c>
      <c r="L62" s="16">
        <v>329698912588</v>
      </c>
      <c r="M62" s="4">
        <f t="shared" si="71"/>
        <v>0.33385082150033535</v>
      </c>
      <c r="N62" s="55">
        <v>-2647819222.08285</v>
      </c>
      <c r="O62" s="53">
        <v>9.5000000000000001E-2</v>
      </c>
      <c r="P62" s="53">
        <v>-3.5000000000000003E-2</v>
      </c>
      <c r="Q62" s="16">
        <f>177508931500+562000050</f>
        <v>178070931550</v>
      </c>
      <c r="R62" s="4">
        <f t="shared" si="72"/>
        <v>-5.1107012349247086E-3</v>
      </c>
      <c r="S62" s="4">
        <f t="shared" si="73"/>
        <v>-0.20592422296853197</v>
      </c>
      <c r="U62" s="2">
        <v>60</v>
      </c>
      <c r="V62" s="4"/>
      <c r="W62" s="2">
        <v>2022</v>
      </c>
      <c r="X62" s="4">
        <v>4.2245466060201256E-3</v>
      </c>
    </row>
    <row r="63" spans="1:24" x14ac:dyDescent="0.35">
      <c r="A63" s="6">
        <v>61</v>
      </c>
      <c r="B63" s="7" t="s">
        <v>15</v>
      </c>
      <c r="C63" s="8">
        <v>2018</v>
      </c>
      <c r="D63" s="15"/>
      <c r="E63" s="15"/>
      <c r="F63" s="16"/>
      <c r="G63" s="16">
        <v>34367153000000</v>
      </c>
      <c r="H63" s="4"/>
      <c r="I63" s="4"/>
      <c r="J63" s="15">
        <v>38413407000000</v>
      </c>
      <c r="K63" s="4"/>
      <c r="L63" s="15">
        <v>10741622000000</v>
      </c>
      <c r="M63" s="4"/>
      <c r="N63" s="55">
        <v>-2647819222.08285</v>
      </c>
      <c r="O63" s="53">
        <v>9.5000000000000001E-2</v>
      </c>
      <c r="P63" s="53">
        <v>-3.5000000000000003E-2</v>
      </c>
      <c r="Q63" s="15">
        <f>1117009000000+3011182000000</f>
        <v>4128191000000</v>
      </c>
      <c r="R63" s="4"/>
      <c r="S63" s="4"/>
      <c r="U63" s="2">
        <v>61</v>
      </c>
      <c r="V63" s="3" t="s">
        <v>18</v>
      </c>
      <c r="W63" s="5">
        <v>2019</v>
      </c>
      <c r="X63" s="4">
        <v>5.4448877578043321E-3</v>
      </c>
    </row>
    <row r="64" spans="1:24" x14ac:dyDescent="0.35">
      <c r="A64" s="6">
        <v>62</v>
      </c>
      <c r="B64" s="7"/>
      <c r="C64" s="8">
        <v>2019</v>
      </c>
      <c r="D64" s="16">
        <v>5360029000000</v>
      </c>
      <c r="E64" s="16">
        <v>7398161000000</v>
      </c>
      <c r="F64" s="16">
        <f t="shared" si="7"/>
        <v>-2038132000000</v>
      </c>
      <c r="G64" s="16">
        <v>38709314000000</v>
      </c>
      <c r="H64" s="4">
        <f>F64/G63</f>
        <v>-5.9304650577253225E-2</v>
      </c>
      <c r="I64" s="4">
        <f>1/G63</f>
        <v>2.9097551374127498E-14</v>
      </c>
      <c r="J64" s="16">
        <v>42296703000000</v>
      </c>
      <c r="K64" s="4">
        <f>(J64-J63)/G63</f>
        <v>0.11299440486094382</v>
      </c>
      <c r="L64" s="16">
        <v>11342412000000</v>
      </c>
      <c r="M64" s="4">
        <f>L64/G63</f>
        <v>0.33003641587652022</v>
      </c>
      <c r="N64" s="55">
        <v>-2647819222.08285</v>
      </c>
      <c r="O64" s="53">
        <v>9.5000000000000001E-2</v>
      </c>
      <c r="P64" s="53">
        <v>-3.5000000000000003E-2</v>
      </c>
      <c r="Q64" s="16">
        <f>1065882000000+2983408000000</f>
        <v>4049290000000</v>
      </c>
      <c r="R64" s="4">
        <f>SUM((N64*I64)+(O64*(((J64-J63)-(Q64-Q63))/G63))+(P64*M64))</f>
        <v>-6.757476891403498E-4</v>
      </c>
      <c r="S64" s="4">
        <f>SUM(H64-R64)</f>
        <v>-5.8628902888112872E-2</v>
      </c>
      <c r="U64" s="2">
        <v>62</v>
      </c>
      <c r="V64" s="4"/>
      <c r="W64" s="2">
        <v>2020</v>
      </c>
      <c r="X64" s="4">
        <v>-4.0839855779399137E-2</v>
      </c>
    </row>
    <row r="65" spans="1:24" x14ac:dyDescent="0.35">
      <c r="A65" s="6">
        <v>63</v>
      </c>
      <c r="B65" s="9"/>
      <c r="C65" s="6">
        <v>2020</v>
      </c>
      <c r="D65" s="16">
        <v>7418574000000</v>
      </c>
      <c r="E65" s="16">
        <v>9336780000000</v>
      </c>
      <c r="F65" s="16">
        <f t="shared" si="7"/>
        <v>-1918206000000</v>
      </c>
      <c r="G65" s="16">
        <v>103588325000000</v>
      </c>
      <c r="H65" s="4">
        <f t="shared" ref="H65:H67" si="74">F65/G64</f>
        <v>-4.9554120230598762E-2</v>
      </c>
      <c r="I65" s="4">
        <f t="shared" ref="I65:I67" si="75">1/G64</f>
        <v>2.5833575867554771E-14</v>
      </c>
      <c r="J65" s="16">
        <v>46641048000000</v>
      </c>
      <c r="K65" s="4">
        <f t="shared" ref="K65:K67" si="76">(J65-J64)/G64</f>
        <v>0.11222996615233223</v>
      </c>
      <c r="L65" s="16">
        <v>13351296000000</v>
      </c>
      <c r="M65" s="4">
        <f t="shared" ref="M65:M67" si="77">L65/G64</f>
        <v>0.34491171814618055</v>
      </c>
      <c r="N65" s="55">
        <v>-2647819222.08285</v>
      </c>
      <c r="O65" s="53">
        <v>9.5000000000000001E-2</v>
      </c>
      <c r="P65" s="53">
        <v>-3.5000000000000003E-2</v>
      </c>
      <c r="Q65" s="16">
        <f>2380015000000+2893401000000</f>
        <v>5273416000000</v>
      </c>
      <c r="R65" s="4">
        <f t="shared" ref="R65:R67" si="78">SUM((N65*I65)+(O65*(((J65-J64)-(Q65-Q64))/G64))+(P65*M65))</f>
        <v>-4.4827034191844096E-3</v>
      </c>
      <c r="S65" s="4">
        <f t="shared" ref="S65:S67" si="79">SUM(H65-R65)</f>
        <v>-4.5071416811414355E-2</v>
      </c>
      <c r="U65" s="2">
        <v>63</v>
      </c>
      <c r="V65" s="4"/>
      <c r="W65" s="2">
        <v>2021</v>
      </c>
      <c r="X65" s="4">
        <v>-7.1277217023521577E-2</v>
      </c>
    </row>
    <row r="66" spans="1:24" x14ac:dyDescent="0.35">
      <c r="A66" s="6">
        <v>64</v>
      </c>
      <c r="B66" s="9"/>
      <c r="C66" s="6">
        <v>2021</v>
      </c>
      <c r="D66" s="16">
        <v>7911943000000</v>
      </c>
      <c r="E66" s="16">
        <v>7989039000000</v>
      </c>
      <c r="F66" s="16">
        <f t="shared" si="7"/>
        <v>-77096000000</v>
      </c>
      <c r="G66" s="16">
        <v>118015311000000</v>
      </c>
      <c r="H66" s="4">
        <f t="shared" si="74"/>
        <v>-7.4425375639581009E-4</v>
      </c>
      <c r="I66" s="4">
        <f t="shared" si="75"/>
        <v>9.6535975458624318E-15</v>
      </c>
      <c r="J66" s="16">
        <v>56803733000000</v>
      </c>
      <c r="K66" s="4">
        <f t="shared" si="76"/>
        <v>9.810647097537295E-2</v>
      </c>
      <c r="L66" s="16">
        <v>14175833000000</v>
      </c>
      <c r="M66" s="4">
        <f t="shared" si="77"/>
        <v>0.13684778665935568</v>
      </c>
      <c r="N66" s="55">
        <v>-2647819222.08285</v>
      </c>
      <c r="O66" s="53">
        <v>9.5000000000000001E-2</v>
      </c>
      <c r="P66" s="53">
        <v>-3.5000000000000003E-2</v>
      </c>
      <c r="Q66" s="16">
        <f>3066583000000+3334347000000</f>
        <v>6400930000000</v>
      </c>
      <c r="R66" s="4">
        <f t="shared" si="78"/>
        <v>3.4708474220228698E-3</v>
      </c>
      <c r="S66" s="4">
        <f t="shared" si="79"/>
        <v>-4.2151011784186797E-3</v>
      </c>
      <c r="U66" s="2">
        <v>64</v>
      </c>
      <c r="V66" s="4"/>
      <c r="W66" s="2">
        <v>2022</v>
      </c>
      <c r="X66" s="4">
        <v>1.2520015301490744E-2</v>
      </c>
    </row>
    <row r="67" spans="1:24" x14ac:dyDescent="0.35">
      <c r="A67" s="6">
        <v>65</v>
      </c>
      <c r="B67" s="9"/>
      <c r="C67" s="6">
        <v>2022</v>
      </c>
      <c r="D67" s="16">
        <v>5722194000000</v>
      </c>
      <c r="E67" s="16">
        <v>8804494000000</v>
      </c>
      <c r="F67" s="16">
        <f t="shared" si="7"/>
        <v>-3082300000000</v>
      </c>
      <c r="G67" s="16">
        <v>115305536000000</v>
      </c>
      <c r="H67" s="4">
        <f t="shared" si="74"/>
        <v>-2.6117797545777768E-2</v>
      </c>
      <c r="I67" s="4">
        <f t="shared" si="75"/>
        <v>8.4734768016668611E-15</v>
      </c>
      <c r="J67" s="16">
        <v>64797516000000</v>
      </c>
      <c r="K67" s="4">
        <f t="shared" si="76"/>
        <v>6.7735134808058928E-2</v>
      </c>
      <c r="L67" s="16">
        <v>14520941000000</v>
      </c>
      <c r="M67" s="4">
        <f t="shared" si="77"/>
        <v>0.1230428567018732</v>
      </c>
      <c r="N67" s="55">
        <v>-2647819222.08285</v>
      </c>
      <c r="O67" s="53">
        <v>9.5000000000000001E-2</v>
      </c>
      <c r="P67" s="53">
        <v>-3.5000000000000003E-2</v>
      </c>
      <c r="Q67" s="16">
        <f>3507566000000+3367938000000</f>
        <v>6875504000000</v>
      </c>
      <c r="R67" s="4">
        <f t="shared" si="78"/>
        <v>1.7238788683776544E-3</v>
      </c>
      <c r="S67" s="4">
        <f t="shared" si="79"/>
        <v>-2.7841676414155421E-2</v>
      </c>
      <c r="U67" s="2">
        <v>65</v>
      </c>
      <c r="V67" s="3" t="s">
        <v>19</v>
      </c>
      <c r="W67" s="5">
        <v>2019</v>
      </c>
      <c r="X67" s="4">
        <v>-2.0762645791753367E-2</v>
      </c>
    </row>
    <row r="68" spans="1:24" x14ac:dyDescent="0.35">
      <c r="A68" s="6">
        <v>66</v>
      </c>
      <c r="B68" s="7" t="s">
        <v>16</v>
      </c>
      <c r="C68" s="8">
        <v>2018</v>
      </c>
      <c r="D68" s="15"/>
      <c r="E68" s="15"/>
      <c r="F68" s="16"/>
      <c r="G68" s="16">
        <v>96537796000000</v>
      </c>
      <c r="H68" s="4"/>
      <c r="I68" s="4"/>
      <c r="J68" s="15">
        <v>73394728000000</v>
      </c>
      <c r="K68" s="4"/>
      <c r="L68" s="15">
        <v>42388236000000</v>
      </c>
      <c r="M68" s="4"/>
      <c r="N68" s="55">
        <v>-2647819222.08285</v>
      </c>
      <c r="O68" s="53">
        <v>9.5000000000000001E-2</v>
      </c>
      <c r="P68" s="53">
        <v>-3.5000000000000003E-2</v>
      </c>
      <c r="Q68" s="15">
        <f>4258499000000+1143472000000</f>
        <v>5401971000000</v>
      </c>
      <c r="R68" s="4"/>
      <c r="S68" s="4"/>
      <c r="U68" s="2">
        <v>66</v>
      </c>
      <c r="V68" s="4"/>
      <c r="W68" s="2">
        <v>2020</v>
      </c>
      <c r="X68" s="4">
        <v>-0.14441544582333735</v>
      </c>
    </row>
    <row r="69" spans="1:24" x14ac:dyDescent="0.35">
      <c r="A69" s="6">
        <v>67</v>
      </c>
      <c r="B69" s="7"/>
      <c r="C69" s="8">
        <v>2019</v>
      </c>
      <c r="D69" s="16">
        <v>5902729000000</v>
      </c>
      <c r="E69" s="16">
        <v>13344494000000</v>
      </c>
      <c r="F69" s="16">
        <f t="shared" si="7"/>
        <v>-7441765000000</v>
      </c>
      <c r="G69" s="16">
        <v>96198559000000</v>
      </c>
      <c r="H69" s="4">
        <f>F69/G68</f>
        <v>-7.7086543388664067E-2</v>
      </c>
      <c r="I69" s="4">
        <f>1/G68</f>
        <v>1.035863714974392E-14</v>
      </c>
      <c r="J69" s="16">
        <v>76592955000000</v>
      </c>
      <c r="K69" s="4">
        <f>(J69-J68)/G68</f>
        <v>3.3129273015514049E-2</v>
      </c>
      <c r="L69" s="16">
        <v>43072504000000</v>
      </c>
      <c r="M69" s="4">
        <f>L69/G68</f>
        <v>0.44617244006689361</v>
      </c>
      <c r="N69" s="55">
        <v>-2647819222.08285</v>
      </c>
      <c r="O69" s="53">
        <v>9.5000000000000001E-2</v>
      </c>
      <c r="P69" s="53">
        <v>-3.5000000000000003E-2</v>
      </c>
      <c r="Q69" s="16">
        <f>4128356000000+1277677000000</f>
        <v>5406033000000</v>
      </c>
      <c r="R69" s="4">
        <f>SUM((N69*I69)+(O69*(((J69-J68)-(Q69-Q68))/G68))+(P69*M69))</f>
        <v>-1.250017955891683E-2</v>
      </c>
      <c r="S69" s="4">
        <f>SUM(H69-R69)</f>
        <v>-6.4586363829747237E-2</v>
      </c>
      <c r="U69" s="2">
        <v>67</v>
      </c>
      <c r="V69" s="4"/>
      <c r="W69" s="2">
        <v>2021</v>
      </c>
      <c r="X69" s="4">
        <v>-0.17108654592222228</v>
      </c>
    </row>
    <row r="70" spans="1:24" x14ac:dyDescent="0.35">
      <c r="A70" s="6">
        <v>68</v>
      </c>
      <c r="B70" s="9"/>
      <c r="C70" s="6">
        <v>2020</v>
      </c>
      <c r="D70" s="16">
        <v>8752066000000</v>
      </c>
      <c r="E70" s="16">
        <v>13855497000000</v>
      </c>
      <c r="F70" s="16">
        <f t="shared" si="7"/>
        <v>-5103431000000</v>
      </c>
      <c r="G70" s="16">
        <v>163136516000000</v>
      </c>
      <c r="H70" s="4">
        <f t="shared" ref="H70:H72" si="80">F70/G69</f>
        <v>-5.3051012957480992E-2</v>
      </c>
      <c r="I70" s="4">
        <f t="shared" ref="I70:I72" si="81">1/G69</f>
        <v>1.0395166106386272E-14</v>
      </c>
      <c r="J70" s="16">
        <v>81731469000000</v>
      </c>
      <c r="K70" s="4">
        <f t="shared" ref="K70:K72" si="82">(J70-J69)/G69</f>
        <v>5.3415706569991346E-2</v>
      </c>
      <c r="L70" s="16">
        <v>45862919000000</v>
      </c>
      <c r="M70" s="4">
        <f t="shared" ref="M70:M72" si="83">L70/G69</f>
        <v>0.47675266112873893</v>
      </c>
      <c r="N70" s="55">
        <v>-2647819222.08285</v>
      </c>
      <c r="O70" s="53">
        <v>9.5000000000000001E-2</v>
      </c>
      <c r="P70" s="53">
        <v>-3.5000000000000003E-2</v>
      </c>
      <c r="Q70" s="16">
        <f>5315611000000+1113519000000</f>
        <v>6429130000000</v>
      </c>
      <c r="R70" s="4">
        <f t="shared" ref="R70:R72" si="84">SUM((N70*I70)+(O70*(((J70-J69)-(Q70-Q69))/G69))+(P70*M70))</f>
        <v>-1.264972554549474E-2</v>
      </c>
      <c r="S70" s="4">
        <f t="shared" ref="S70:S72" si="85">SUM(H70-R70)</f>
        <v>-4.0401287411986252E-2</v>
      </c>
      <c r="U70" s="2">
        <v>68</v>
      </c>
      <c r="V70" s="4"/>
      <c r="W70" s="2">
        <v>2022</v>
      </c>
      <c r="X70" s="4">
        <v>-0.19193811869606409</v>
      </c>
    </row>
    <row r="71" spans="1:24" x14ac:dyDescent="0.35">
      <c r="A71" s="6">
        <v>69</v>
      </c>
      <c r="B71" s="9"/>
      <c r="C71" s="6">
        <v>2021</v>
      </c>
      <c r="D71" s="16">
        <v>11229695000000</v>
      </c>
      <c r="E71" s="16">
        <v>14692641000000</v>
      </c>
      <c r="F71" s="16">
        <f t="shared" si="7"/>
        <v>-3462946000000</v>
      </c>
      <c r="G71" s="16">
        <v>179271840000000</v>
      </c>
      <c r="H71" s="4">
        <f t="shared" si="80"/>
        <v>-2.1227289174178515E-2</v>
      </c>
      <c r="I71" s="4">
        <f t="shared" si="81"/>
        <v>6.1298354563364584E-15</v>
      </c>
      <c r="J71" s="16">
        <v>99345618000000</v>
      </c>
      <c r="K71" s="4">
        <f t="shared" si="82"/>
        <v>0.10797183507339338</v>
      </c>
      <c r="L71" s="16">
        <v>46751821000000</v>
      </c>
      <c r="M71" s="4">
        <f t="shared" si="83"/>
        <v>0.28658097001409544</v>
      </c>
      <c r="N71" s="55">
        <v>-2647819222.08285</v>
      </c>
      <c r="O71" s="53">
        <v>9.5000000000000001E-2</v>
      </c>
      <c r="P71" s="53">
        <v>-3.5000000000000003E-2</v>
      </c>
      <c r="Q71" s="16">
        <f>6230066000000+1395975000000</f>
        <v>7626041000000</v>
      </c>
      <c r="R71" s="4">
        <f t="shared" si="84"/>
        <v>-4.8624272582897983E-4</v>
      </c>
      <c r="S71" s="4">
        <f t="shared" si="85"/>
        <v>-2.0741046448349537E-2</v>
      </c>
      <c r="U71" s="2">
        <v>69</v>
      </c>
      <c r="V71" s="3" t="s">
        <v>20</v>
      </c>
      <c r="W71" s="5">
        <v>2019</v>
      </c>
      <c r="X71" s="4">
        <v>-7.0801396973089986E-2</v>
      </c>
    </row>
    <row r="72" spans="1:24" x14ac:dyDescent="0.35">
      <c r="A72" s="6">
        <v>70</v>
      </c>
      <c r="B72" s="9"/>
      <c r="C72" s="6">
        <v>2022</v>
      </c>
      <c r="D72" s="16">
        <v>9192569000000</v>
      </c>
      <c r="E72" s="16">
        <v>13587686000000</v>
      </c>
      <c r="F72" s="16">
        <f t="shared" si="7"/>
        <v>-4395117000000</v>
      </c>
      <c r="G72" s="16">
        <v>180433300000000</v>
      </c>
      <c r="H72" s="4">
        <f t="shared" si="80"/>
        <v>-2.4516494057293104E-2</v>
      </c>
      <c r="I72" s="4">
        <f t="shared" si="81"/>
        <v>5.5781209140264303E-15</v>
      </c>
      <c r="J72" s="16">
        <v>110830272000000</v>
      </c>
      <c r="K72" s="4">
        <f t="shared" si="82"/>
        <v>6.4062788667757303E-2</v>
      </c>
      <c r="L72" s="16">
        <v>47410528000000</v>
      </c>
      <c r="M72" s="4">
        <f t="shared" si="83"/>
        <v>0.26446165778183567</v>
      </c>
      <c r="N72" s="55">
        <v>-2647819222.08285</v>
      </c>
      <c r="O72" s="53">
        <v>9.5000000000000001E-2</v>
      </c>
      <c r="P72" s="53">
        <v>-3.5000000000000003E-2</v>
      </c>
      <c r="Q72" s="16">
        <f>6805535000000+1475001000000</f>
        <v>8280536000000</v>
      </c>
      <c r="R72" s="4">
        <f t="shared" si="84"/>
        <v>-3.5317939182310113E-3</v>
      </c>
      <c r="S72" s="4">
        <f t="shared" si="85"/>
        <v>-2.0984700139062094E-2</v>
      </c>
      <c r="U72" s="2">
        <v>70</v>
      </c>
      <c r="V72" s="4"/>
      <c r="W72" s="2">
        <v>2020</v>
      </c>
      <c r="X72" s="4">
        <v>-6.7971469868430043E-2</v>
      </c>
    </row>
    <row r="73" spans="1:24" x14ac:dyDescent="0.35">
      <c r="A73" s="6">
        <v>71</v>
      </c>
      <c r="B73" s="7" t="s">
        <v>17</v>
      </c>
      <c r="C73" s="8">
        <v>2018</v>
      </c>
      <c r="D73" s="15"/>
      <c r="E73" s="15"/>
      <c r="F73" s="16"/>
      <c r="G73" s="16">
        <v>23038028000000</v>
      </c>
      <c r="H73" s="4"/>
      <c r="I73" s="4"/>
      <c r="J73" s="15">
        <v>34012965000000</v>
      </c>
      <c r="K73" s="4"/>
      <c r="L73" s="15">
        <v>7935353000000</v>
      </c>
      <c r="M73" s="4"/>
      <c r="N73" s="55">
        <v>-2647819222.08285</v>
      </c>
      <c r="O73" s="53">
        <v>9.5000000000000001E-2</v>
      </c>
      <c r="P73" s="53">
        <v>-3.5000000000000003E-2</v>
      </c>
      <c r="Q73" s="15">
        <f>92056000000+1600721000000</f>
        <v>1692777000000</v>
      </c>
      <c r="R73" s="4"/>
      <c r="S73" s="4"/>
      <c r="U73" s="2">
        <v>71</v>
      </c>
      <c r="V73" s="4"/>
      <c r="W73" s="2">
        <v>2021</v>
      </c>
      <c r="X73" s="4">
        <v>5.6555900966557462E-3</v>
      </c>
    </row>
    <row r="74" spans="1:24" x14ac:dyDescent="0.35">
      <c r="A74" s="6">
        <v>72</v>
      </c>
      <c r="B74" s="7"/>
      <c r="C74" s="8">
        <v>2019</v>
      </c>
      <c r="D74" s="16">
        <v>1793914000000</v>
      </c>
      <c r="E74" s="16">
        <v>1891217000000</v>
      </c>
      <c r="F74" s="16">
        <f t="shared" ref="F74:F136" si="86">D74-E74</f>
        <v>-97303000000</v>
      </c>
      <c r="G74" s="16">
        <v>26650895000000</v>
      </c>
      <c r="H74" s="4">
        <f>F74/G73</f>
        <v>-4.2235819836663104E-3</v>
      </c>
      <c r="I74" s="4">
        <f>1/G73</f>
        <v>4.3406492951566864E-14</v>
      </c>
      <c r="J74" s="16">
        <v>38872084000000</v>
      </c>
      <c r="K74" s="4">
        <f>(J74-J73)/G73</f>
        <v>0.21091731462432461</v>
      </c>
      <c r="L74" s="16">
        <v>10707724000000</v>
      </c>
      <c r="M74" s="4">
        <f>L74/G73</f>
        <v>0.46478474633332334</v>
      </c>
      <c r="N74" s="55">
        <v>-2647819222.08285</v>
      </c>
      <c r="O74" s="53">
        <v>9.5000000000000001E-2</v>
      </c>
      <c r="P74" s="53">
        <v>-3.5000000000000003E-2</v>
      </c>
      <c r="Q74" s="16">
        <f>29692000000+2158897000000</f>
        <v>2188589000000</v>
      </c>
      <c r="R74" s="4">
        <f>SUM((N74*I74)+(O74*(((J74-J73)-(Q74-Q73))/G73))+(P74*M74))</f>
        <v>1.610207513330443E-3</v>
      </c>
      <c r="S74" s="4">
        <f>SUM(H74-R74)</f>
        <v>-5.8337894969967535E-3</v>
      </c>
      <c r="U74" s="2">
        <v>72</v>
      </c>
      <c r="V74" s="4"/>
      <c r="W74" s="2">
        <v>2022</v>
      </c>
      <c r="X74" s="4">
        <v>1.8973675512172831E-2</v>
      </c>
    </row>
    <row r="75" spans="1:24" x14ac:dyDescent="0.35">
      <c r="A75" s="6">
        <v>73</v>
      </c>
      <c r="B75" s="9"/>
      <c r="C75" s="6">
        <v>2020</v>
      </c>
      <c r="D75" s="16">
        <v>1221904000000</v>
      </c>
      <c r="E75" s="16">
        <v>4099440000000</v>
      </c>
      <c r="F75" s="16">
        <f t="shared" si="86"/>
        <v>-2877536000000</v>
      </c>
      <c r="G75" s="16">
        <v>25951760000000</v>
      </c>
      <c r="H75" s="4">
        <f t="shared" ref="H75:H77" si="87">F75/G74</f>
        <v>-0.10797145836940936</v>
      </c>
      <c r="I75" s="4">
        <f t="shared" ref="I75:I77" si="88">1/G74</f>
        <v>3.7522192031449603E-14</v>
      </c>
      <c r="J75" s="16">
        <v>36964948000000</v>
      </c>
      <c r="K75" s="4">
        <f t="shared" ref="K75:K77" si="89">(J75-J74)/G74</f>
        <v>-7.1559923222090663E-2</v>
      </c>
      <c r="L75" s="16">
        <v>11143803000000</v>
      </c>
      <c r="M75" s="4">
        <f t="shared" ref="M75:M77" si="90">L75/G74</f>
        <v>0.41813991612664414</v>
      </c>
      <c r="N75" s="55">
        <v>-2647819222.08285</v>
      </c>
      <c r="O75" s="53">
        <v>9.5000000000000001E-2</v>
      </c>
      <c r="P75" s="53">
        <v>-3.5000000000000003E-2</v>
      </c>
      <c r="Q75" s="16">
        <f>12674000000+1867342000000</f>
        <v>1880016000000</v>
      </c>
      <c r="R75" s="4">
        <f t="shared" ref="R75:R77" si="91">SUM((N75*I75)+(O75*(((J75-J74)-(Q75-Q74))/G74))+(P75*M75))</f>
        <v>-2.0432499892483268E-2</v>
      </c>
      <c r="S75" s="4">
        <f t="shared" ref="S75:S77" si="92">SUM(H75-R75)</f>
        <v>-8.7538958476926082E-2</v>
      </c>
      <c r="U75" s="2">
        <v>73</v>
      </c>
      <c r="V75" s="3" t="s">
        <v>21</v>
      </c>
      <c r="W75" s="5">
        <v>2019</v>
      </c>
      <c r="X75" s="4">
        <v>-4.5378316971100854E-2</v>
      </c>
    </row>
    <row r="76" spans="1:24" x14ac:dyDescent="0.35">
      <c r="A76" s="6">
        <v>74</v>
      </c>
      <c r="B76" s="9"/>
      <c r="C76" s="6">
        <v>2021</v>
      </c>
      <c r="D76" s="16">
        <v>2130896000000</v>
      </c>
      <c r="E76" s="16">
        <v>701246000000</v>
      </c>
      <c r="F76" s="16">
        <f t="shared" si="86"/>
        <v>1429650000000</v>
      </c>
      <c r="G76" s="16">
        <v>28589656000000</v>
      </c>
      <c r="H76" s="4">
        <f t="shared" si="87"/>
        <v>5.5088749279432303E-2</v>
      </c>
      <c r="I76" s="4">
        <f t="shared" si="88"/>
        <v>3.8533032056400031E-14</v>
      </c>
      <c r="J76" s="16">
        <v>44878300000000</v>
      </c>
      <c r="K76" s="4">
        <f t="shared" si="89"/>
        <v>0.3049254462895773</v>
      </c>
      <c r="L76" s="16">
        <v>11509654000000</v>
      </c>
      <c r="M76" s="4">
        <f t="shared" si="90"/>
        <v>0.44350186654007279</v>
      </c>
      <c r="N76" s="55">
        <v>-2647819222.08285</v>
      </c>
      <c r="O76" s="53">
        <v>9.5000000000000001E-2</v>
      </c>
      <c r="P76" s="53">
        <v>-3.5000000000000003E-2</v>
      </c>
      <c r="Q76" s="16">
        <f>25616000000+2322193000000</f>
        <v>2347809000000</v>
      </c>
      <c r="R76" s="4">
        <f t="shared" si="91"/>
        <v>1.1630902712491065E-2</v>
      </c>
      <c r="S76" s="4">
        <f t="shared" si="92"/>
        <v>4.3457846566941238E-2</v>
      </c>
      <c r="U76" s="2">
        <v>74</v>
      </c>
      <c r="V76" s="4"/>
      <c r="W76" s="2">
        <v>2020</v>
      </c>
      <c r="X76" s="4">
        <v>-4.9369709343509476E-2</v>
      </c>
    </row>
    <row r="77" spans="1:24" x14ac:dyDescent="0.35">
      <c r="A77" s="6">
        <v>75</v>
      </c>
      <c r="B77" s="9"/>
      <c r="C77" s="6">
        <v>2022</v>
      </c>
      <c r="D77" s="16">
        <v>1490931000000</v>
      </c>
      <c r="E77" s="16">
        <v>1426749000000</v>
      </c>
      <c r="F77" s="16">
        <f t="shared" si="86"/>
        <v>64182000000</v>
      </c>
      <c r="G77" s="16">
        <v>32690887000000</v>
      </c>
      <c r="H77" s="4">
        <f t="shared" si="87"/>
        <v>2.2449378194686919E-3</v>
      </c>
      <c r="I77" s="4">
        <f t="shared" si="88"/>
        <v>3.4977685635671867E-14</v>
      </c>
      <c r="J77" s="16">
        <v>48972085000000</v>
      </c>
      <c r="K77" s="4">
        <f t="shared" si="89"/>
        <v>0.14319112479002896</v>
      </c>
      <c r="L77" s="16">
        <v>12497177000000</v>
      </c>
      <c r="M77" s="4">
        <f t="shared" si="90"/>
        <v>0.43712232843934884</v>
      </c>
      <c r="N77" s="55">
        <v>-2647819222.08285</v>
      </c>
      <c r="O77" s="53">
        <v>9.5000000000000001E-2</v>
      </c>
      <c r="P77" s="53">
        <v>-3.5000000000000003E-2</v>
      </c>
      <c r="Q77" s="16">
        <f>18976000000+2386274000000</f>
        <v>2405250000000</v>
      </c>
      <c r="R77" s="4">
        <f t="shared" si="91"/>
        <v>-1.9796087865514341E-3</v>
      </c>
      <c r="S77" s="4">
        <f t="shared" si="92"/>
        <v>4.2245466060201256E-3</v>
      </c>
      <c r="U77" s="2">
        <v>75</v>
      </c>
      <c r="V77" s="4"/>
      <c r="W77" s="2">
        <v>2021</v>
      </c>
      <c r="X77" s="4">
        <v>-6.1561893891866989E-2</v>
      </c>
    </row>
    <row r="78" spans="1:24" x14ac:dyDescent="0.35">
      <c r="A78" s="6">
        <v>76</v>
      </c>
      <c r="B78" s="7" t="s">
        <v>18</v>
      </c>
      <c r="C78" s="8">
        <v>2018</v>
      </c>
      <c r="D78" s="15"/>
      <c r="E78" s="15"/>
      <c r="F78" s="16"/>
      <c r="G78" s="16">
        <v>10037294000000</v>
      </c>
      <c r="H78" s="4"/>
      <c r="I78" s="4"/>
      <c r="J78" s="15">
        <v>4019846000000</v>
      </c>
      <c r="K78" s="4"/>
      <c r="L78" s="15">
        <v>6234540000000</v>
      </c>
      <c r="M78" s="4"/>
      <c r="N78" s="55">
        <v>-2647819222.08285</v>
      </c>
      <c r="O78" s="53">
        <v>9.5000000000000001E-2</v>
      </c>
      <c r="P78" s="53">
        <v>-3.5000000000000003E-2</v>
      </c>
      <c r="Q78" s="15">
        <f>3140000000+65756000000</f>
        <v>68896000000</v>
      </c>
      <c r="R78" s="4"/>
      <c r="S78" s="4"/>
      <c r="U78" s="2">
        <v>76</v>
      </c>
      <c r="V78" s="4"/>
      <c r="W78" s="2">
        <v>2022</v>
      </c>
      <c r="X78" s="4">
        <v>-6.0982354915864283E-2</v>
      </c>
    </row>
    <row r="79" spans="1:24" x14ac:dyDescent="0.35">
      <c r="A79" s="6">
        <v>77</v>
      </c>
      <c r="B79" s="7"/>
      <c r="C79" s="8">
        <v>2019</v>
      </c>
      <c r="D79" s="16">
        <v>252630000000</v>
      </c>
      <c r="E79" s="16">
        <v>480290000000</v>
      </c>
      <c r="F79" s="16">
        <f t="shared" si="86"/>
        <v>-227660000000</v>
      </c>
      <c r="G79" s="16">
        <v>10225322000000</v>
      </c>
      <c r="H79" s="4">
        <f>F79/G78</f>
        <v>-2.2681411942302377E-2</v>
      </c>
      <c r="I79" s="4">
        <f>1/G78</f>
        <v>9.9628445674700776E-14</v>
      </c>
      <c r="J79" s="16">
        <v>3699439000000</v>
      </c>
      <c r="K79" s="4">
        <f>(J79-J78)/G78</f>
        <v>-3.1921651393293851E-2</v>
      </c>
      <c r="L79" s="16">
        <v>6311102000000</v>
      </c>
      <c r="M79" s="4">
        <f>L79/G78</f>
        <v>0.62876528275449539</v>
      </c>
      <c r="N79" s="55">
        <v>-2647819222.08285</v>
      </c>
      <c r="O79" s="53">
        <v>9.5000000000000001E-2</v>
      </c>
      <c r="P79" s="53">
        <v>-3.5000000000000003E-2</v>
      </c>
      <c r="Q79" s="16">
        <f>251318000000+115861000000</f>
        <v>367179000000</v>
      </c>
      <c r="R79" s="4">
        <f>SUM((N79*I79)+(O79*(((J79-J78)-(Q79-Q78))/G78))+(P79*M79))</f>
        <v>-2.8126299700106709E-2</v>
      </c>
      <c r="S79" s="4">
        <f>SUM(H79-R79)</f>
        <v>5.4448877578043321E-3</v>
      </c>
      <c r="U79" s="2">
        <v>77</v>
      </c>
      <c r="V79" s="3" t="s">
        <v>22</v>
      </c>
      <c r="W79" s="5">
        <v>2019</v>
      </c>
      <c r="X79" s="4">
        <v>3.0445783407449828E-2</v>
      </c>
    </row>
    <row r="80" spans="1:24" x14ac:dyDescent="0.35">
      <c r="A80" s="6">
        <v>78</v>
      </c>
      <c r="B80" s="9"/>
      <c r="C80" s="6">
        <v>2020</v>
      </c>
      <c r="D80" s="16">
        <v>695490000000</v>
      </c>
      <c r="E80" s="16">
        <v>1337633000000</v>
      </c>
      <c r="F80" s="16">
        <f t="shared" si="86"/>
        <v>-642143000000</v>
      </c>
      <c r="G80" s="16">
        <v>10922788000000</v>
      </c>
      <c r="H80" s="4">
        <f t="shared" ref="H80:H82" si="93">F80/G79</f>
        <v>-6.2799293753292074E-2</v>
      </c>
      <c r="I80" s="4">
        <f t="shared" ref="I80:I82" si="94">1/G79</f>
        <v>9.7796431251749335E-14</v>
      </c>
      <c r="J80" s="16">
        <v>3536721000000</v>
      </c>
      <c r="K80" s="4">
        <f t="shared" ref="K80:K82" si="95">(J80-J79)/G79</f>
        <v>-1.5913239700422147E-2</v>
      </c>
      <c r="L80" s="16">
        <v>6313300000000</v>
      </c>
      <c r="M80" s="4">
        <f t="shared" ref="M80:M82" si="96">L80/G79</f>
        <v>0.61741820942166903</v>
      </c>
      <c r="N80" s="55">
        <v>-2647819222.08285</v>
      </c>
      <c r="O80" s="53">
        <v>9.5000000000000001E-2</v>
      </c>
      <c r="P80" s="53">
        <v>-3.5000000000000003E-2</v>
      </c>
      <c r="Q80" s="16">
        <f>168602000000+45638000000</f>
        <v>214240000000</v>
      </c>
      <c r="R80" s="4">
        <f t="shared" ref="R80:R82" si="97">SUM((N80*I80)+(O80*(((J80-J79)-(Q80-Q79))/G79))+(P80*M80))</f>
        <v>-2.1959437973892937E-2</v>
      </c>
      <c r="S80" s="4">
        <f t="shared" ref="S80:S82" si="98">SUM(H80-R80)</f>
        <v>-4.0839855779399137E-2</v>
      </c>
      <c r="U80" s="2">
        <v>78</v>
      </c>
      <c r="V80" s="4"/>
      <c r="W80" s="2">
        <v>2020</v>
      </c>
      <c r="X80" s="4">
        <v>-4.8979581996188085E-2</v>
      </c>
    </row>
    <row r="81" spans="1:24" x14ac:dyDescent="0.35">
      <c r="A81" s="6">
        <v>79</v>
      </c>
      <c r="B81" s="9"/>
      <c r="C81" s="6">
        <v>2021</v>
      </c>
      <c r="D81" s="16">
        <v>991630000000</v>
      </c>
      <c r="E81" s="16">
        <v>1878851000000</v>
      </c>
      <c r="F81" s="16">
        <f t="shared" si="86"/>
        <v>-887221000000</v>
      </c>
      <c r="G81" s="16">
        <v>11851269000000</v>
      </c>
      <c r="H81" s="4">
        <f t="shared" si="93"/>
        <v>-8.1226606247415956E-2</v>
      </c>
      <c r="I81" s="4">
        <f t="shared" si="94"/>
        <v>9.1551717382045689E-14</v>
      </c>
      <c r="J81" s="16">
        <v>4525473000000</v>
      </c>
      <c r="K81" s="4">
        <f t="shared" si="95"/>
        <v>9.0521943664932436E-2</v>
      </c>
      <c r="L81" s="16">
        <v>5826682000000</v>
      </c>
      <c r="M81" s="4">
        <f t="shared" si="96"/>
        <v>0.53344274373905265</v>
      </c>
      <c r="N81" s="55">
        <v>-2647819222.08285</v>
      </c>
      <c r="O81" s="53">
        <v>9.5000000000000001E-2</v>
      </c>
      <c r="P81" s="53">
        <v>-3.5000000000000003E-2</v>
      </c>
      <c r="Q81" s="16">
        <f>149857000000+22539000000</f>
        <v>172396000000</v>
      </c>
      <c r="R81" s="4">
        <f t="shared" si="97"/>
        <v>-9.9493892238943817E-3</v>
      </c>
      <c r="S81" s="4">
        <f t="shared" si="98"/>
        <v>-7.1277217023521577E-2</v>
      </c>
      <c r="U81" s="2">
        <v>79</v>
      </c>
      <c r="V81" s="4"/>
      <c r="W81" s="2">
        <v>2021</v>
      </c>
      <c r="X81" s="4">
        <v>2.0650724544223644E-2</v>
      </c>
    </row>
    <row r="82" spans="1:24" x14ac:dyDescent="0.35">
      <c r="A82" s="6">
        <v>80</v>
      </c>
      <c r="B82" s="9"/>
      <c r="C82" s="6">
        <v>2022</v>
      </c>
      <c r="D82" s="16">
        <v>1035285000000</v>
      </c>
      <c r="E82" s="16">
        <v>1087265000000</v>
      </c>
      <c r="F82" s="16">
        <f t="shared" si="86"/>
        <v>-51980000000</v>
      </c>
      <c r="G82" s="16">
        <v>12417013000000</v>
      </c>
      <c r="H82" s="4">
        <f t="shared" si="93"/>
        <v>-4.3860281966429078E-3</v>
      </c>
      <c r="I82" s="4">
        <f t="shared" si="94"/>
        <v>8.437914960836684E-14</v>
      </c>
      <c r="J82" s="16">
        <v>4585348000000</v>
      </c>
      <c r="K82" s="4">
        <f t="shared" si="95"/>
        <v>5.0522015828009638E-3</v>
      </c>
      <c r="L82" s="16">
        <v>5665815000000</v>
      </c>
      <c r="M82" s="4">
        <f t="shared" si="96"/>
        <v>0.47807665153832896</v>
      </c>
      <c r="N82" s="55">
        <v>-2647819222.08285</v>
      </c>
      <c r="O82" s="53">
        <v>9.5000000000000001E-2</v>
      </c>
      <c r="P82" s="53">
        <v>-3.5000000000000003E-2</v>
      </c>
      <c r="Q82" s="16">
        <f>204303000000+21723000000</f>
        <v>226026000000</v>
      </c>
      <c r="R82" s="4">
        <f t="shared" si="97"/>
        <v>-1.6906043498133651E-2</v>
      </c>
      <c r="S82" s="4">
        <f t="shared" si="98"/>
        <v>1.2520015301490744E-2</v>
      </c>
      <c r="U82" s="2">
        <v>80</v>
      </c>
      <c r="V82" s="4"/>
      <c r="W82" s="2">
        <v>2022</v>
      </c>
      <c r="X82" s="4">
        <v>3.0241014806739065E-3</v>
      </c>
    </row>
    <row r="83" spans="1:24" x14ac:dyDescent="0.35">
      <c r="A83" s="6">
        <v>81</v>
      </c>
      <c r="B83" s="7" t="s">
        <v>19</v>
      </c>
      <c r="C83" s="8">
        <v>2018</v>
      </c>
      <c r="D83" s="15"/>
      <c r="E83" s="15"/>
      <c r="F83" s="16"/>
      <c r="G83" s="16">
        <v>2889501000000</v>
      </c>
      <c r="H83" s="4"/>
      <c r="I83" s="4"/>
      <c r="J83" s="15">
        <v>3574801000000</v>
      </c>
      <c r="K83" s="4"/>
      <c r="L83" s="15">
        <v>1524061000000</v>
      </c>
      <c r="M83" s="4"/>
      <c r="N83" s="55">
        <v>-2647819222.08285</v>
      </c>
      <c r="O83" s="53">
        <v>9.5000000000000001E-2</v>
      </c>
      <c r="P83" s="53">
        <v>-3.5000000000000003E-2</v>
      </c>
      <c r="Q83" s="15">
        <f>604963000000+680000000</f>
        <v>605643000000</v>
      </c>
      <c r="R83" s="4"/>
      <c r="S83" s="4"/>
      <c r="U83" s="2">
        <v>81</v>
      </c>
      <c r="V83" s="3" t="s">
        <v>23</v>
      </c>
      <c r="W83" s="5">
        <v>2019</v>
      </c>
      <c r="X83" s="4">
        <v>-0.13325927696051423</v>
      </c>
    </row>
    <row r="84" spans="1:24" x14ac:dyDescent="0.35">
      <c r="A84" s="6">
        <v>82</v>
      </c>
      <c r="B84" s="7"/>
      <c r="C84" s="8">
        <v>2019</v>
      </c>
      <c r="D84" s="16">
        <v>1206059000000</v>
      </c>
      <c r="E84" s="16">
        <v>1334524000000</v>
      </c>
      <c r="F84" s="16">
        <f t="shared" si="86"/>
        <v>-128465000000</v>
      </c>
      <c r="G84" s="16">
        <v>2896950000000</v>
      </c>
      <c r="H84" s="4">
        <f>F84/G83</f>
        <v>-4.4459233618538291E-2</v>
      </c>
      <c r="I84" s="4">
        <f>1/G83</f>
        <v>3.4608051701660599E-13</v>
      </c>
      <c r="J84" s="16">
        <v>3711405000000</v>
      </c>
      <c r="K84" s="4">
        <f>(J84-J83)/G83</f>
        <v>4.7275982946536441E-2</v>
      </c>
      <c r="L84" s="16">
        <v>1559289000000</v>
      </c>
      <c r="M84" s="4">
        <f>L84/G83</f>
        <v>0.53963954329830655</v>
      </c>
      <c r="N84" s="55">
        <v>-2647819222.08285</v>
      </c>
      <c r="O84" s="53">
        <v>9.5000000000000001E-2</v>
      </c>
      <c r="P84" s="53">
        <v>-3.5000000000000003E-2</v>
      </c>
      <c r="Q84" s="16">
        <f>858299000000+2352000000</f>
        <v>860651000000</v>
      </c>
      <c r="R84" s="4">
        <f>SUM((N84*I84)+(O84*(((J84-J83)-(Q84-Q83))/G83))+(P84*M84))</f>
        <v>-2.3696587826784923E-2</v>
      </c>
      <c r="S84" s="4">
        <f>SUM(H84-R84)</f>
        <v>-2.0762645791753367E-2</v>
      </c>
      <c r="U84" s="2">
        <v>82</v>
      </c>
      <c r="V84" s="4"/>
      <c r="W84" s="2">
        <v>2020</v>
      </c>
      <c r="X84" s="4">
        <v>-5.3226026782315007E-2</v>
      </c>
    </row>
    <row r="85" spans="1:24" x14ac:dyDescent="0.35">
      <c r="A85" s="6">
        <v>83</v>
      </c>
      <c r="B85" s="9"/>
      <c r="C85" s="6">
        <v>2020</v>
      </c>
      <c r="D85" s="16">
        <v>285617000000</v>
      </c>
      <c r="E85" s="16">
        <v>872649000000</v>
      </c>
      <c r="F85" s="16">
        <f t="shared" si="86"/>
        <v>-587032000000</v>
      </c>
      <c r="G85" s="16">
        <v>2907425000000</v>
      </c>
      <c r="H85" s="4">
        <f t="shared" ref="H85:H87" si="99">F85/G84</f>
        <v>-0.20263794680612368</v>
      </c>
      <c r="I85" s="4">
        <f t="shared" ref="I85:I87" si="100">1/G84</f>
        <v>3.4519063152626038E-13</v>
      </c>
      <c r="J85" s="16">
        <v>1985009000000</v>
      </c>
      <c r="K85" s="4">
        <f t="shared" ref="K85:K87" si="101">(J85-J84)/G84</f>
        <v>-0.59593572550440976</v>
      </c>
      <c r="L85" s="16">
        <v>1479447000000</v>
      </c>
      <c r="M85" s="4">
        <f t="shared" ref="M85:M87" si="102">L85/G84</f>
        <v>0.5106912442396313</v>
      </c>
      <c r="N85" s="55">
        <v>-2647819222.08285</v>
      </c>
      <c r="O85" s="53">
        <v>9.5000000000000001E-2</v>
      </c>
      <c r="P85" s="53">
        <v>-3.5000000000000003E-2</v>
      </c>
      <c r="Q85" s="16">
        <f>336035000000+738000000</f>
        <v>336773000000</v>
      </c>
      <c r="R85" s="4">
        <f t="shared" ref="R85:R87" si="103">SUM((N85*I85)+(O85*(((J85-J84)-(Q85-Q84))/G84))+(P85*M85))</f>
        <v>-5.8222500982786328E-2</v>
      </c>
      <c r="S85" s="4">
        <f t="shared" ref="S85:S87" si="104">SUM(H85-R85)</f>
        <v>-0.14441544582333735</v>
      </c>
      <c r="U85" s="2">
        <v>83</v>
      </c>
      <c r="V85" s="4"/>
      <c r="W85" s="2">
        <v>2021</v>
      </c>
      <c r="X85" s="4">
        <v>-4.6215405376359056E-2</v>
      </c>
    </row>
    <row r="86" spans="1:24" x14ac:dyDescent="0.35">
      <c r="A86" s="6">
        <v>84</v>
      </c>
      <c r="B86" s="9"/>
      <c r="C86" s="6">
        <v>2021</v>
      </c>
      <c r="D86" s="16">
        <v>665850000000</v>
      </c>
      <c r="E86" s="16">
        <v>1168005000000</v>
      </c>
      <c r="F86" s="16">
        <f t="shared" si="86"/>
        <v>-502155000000</v>
      </c>
      <c r="G86" s="16">
        <v>2922017000000</v>
      </c>
      <c r="H86" s="4">
        <f t="shared" si="99"/>
        <v>-0.17271468739520365</v>
      </c>
      <c r="I86" s="4">
        <f t="shared" si="100"/>
        <v>3.4394696337824708E-13</v>
      </c>
      <c r="J86" s="16">
        <v>2473681000000</v>
      </c>
      <c r="K86" s="4">
        <f t="shared" si="101"/>
        <v>0.16807725048797476</v>
      </c>
      <c r="L86" s="16">
        <v>1406550000000</v>
      </c>
      <c r="M86" s="4">
        <f t="shared" si="102"/>
        <v>0.48377860133967343</v>
      </c>
      <c r="N86" s="55">
        <v>-2647819222.08285</v>
      </c>
      <c r="O86" s="53">
        <v>9.5000000000000001E-2</v>
      </c>
      <c r="P86" s="53">
        <v>-3.5000000000000003E-2</v>
      </c>
      <c r="Q86" s="16">
        <f>327812000000+1387000000</f>
        <v>329199000000</v>
      </c>
      <c r="R86" s="4">
        <f t="shared" si="103"/>
        <v>-1.628141472981369E-3</v>
      </c>
      <c r="S86" s="4">
        <f t="shared" si="104"/>
        <v>-0.17108654592222228</v>
      </c>
      <c r="U86" s="2">
        <v>84</v>
      </c>
      <c r="V86" s="4"/>
      <c r="W86" s="2">
        <v>2022</v>
      </c>
      <c r="X86" s="4">
        <v>6.8608730647116076E-2</v>
      </c>
    </row>
    <row r="87" spans="1:24" x14ac:dyDescent="0.35">
      <c r="A87" s="6">
        <v>85</v>
      </c>
      <c r="B87" s="9"/>
      <c r="C87" s="6">
        <v>2022</v>
      </c>
      <c r="D87" s="16">
        <v>924906000000</v>
      </c>
      <c r="E87" s="16">
        <v>1490060000000</v>
      </c>
      <c r="F87" s="16">
        <f t="shared" si="86"/>
        <v>-565154000000</v>
      </c>
      <c r="G87" s="16">
        <v>3374502000000</v>
      </c>
      <c r="H87" s="4">
        <f t="shared" si="99"/>
        <v>-0.19341229020912609</v>
      </c>
      <c r="I87" s="4">
        <f t="shared" si="100"/>
        <v>3.422293573240676E-13</v>
      </c>
      <c r="J87" s="16">
        <v>3114907000000</v>
      </c>
      <c r="K87" s="4">
        <f t="shared" si="101"/>
        <v>0.21944636187948258</v>
      </c>
      <c r="L87" s="16">
        <v>1468317000000</v>
      </c>
      <c r="M87" s="4">
        <f t="shared" si="102"/>
        <v>0.50250118325800297</v>
      </c>
      <c r="N87" s="55">
        <v>-2647819222.08285</v>
      </c>
      <c r="O87" s="53">
        <v>9.5000000000000001E-2</v>
      </c>
      <c r="P87" s="53">
        <v>-3.5000000000000003E-2</v>
      </c>
      <c r="Q87" s="16">
        <f>445676000000+1261000000</f>
        <v>446937000000</v>
      </c>
      <c r="R87" s="4">
        <f t="shared" si="103"/>
        <v>-1.474171513061992E-3</v>
      </c>
      <c r="S87" s="4">
        <f t="shared" si="104"/>
        <v>-0.19193811869606409</v>
      </c>
      <c r="U87" s="2">
        <v>85</v>
      </c>
      <c r="V87" s="3" t="s">
        <v>24</v>
      </c>
      <c r="W87" s="5">
        <v>2019</v>
      </c>
      <c r="X87" s="4">
        <v>-9.3127033142191853E-2</v>
      </c>
    </row>
    <row r="88" spans="1:24" x14ac:dyDescent="0.35">
      <c r="A88" s="6">
        <v>86</v>
      </c>
      <c r="B88" s="7" t="s">
        <v>20</v>
      </c>
      <c r="C88" s="8">
        <v>2018</v>
      </c>
      <c r="D88" s="15"/>
      <c r="E88" s="15"/>
      <c r="F88" s="16"/>
      <c r="G88" s="16">
        <v>17591706426634</v>
      </c>
      <c r="H88" s="4"/>
      <c r="I88" s="4"/>
      <c r="J88" s="15">
        <v>24060802395725</v>
      </c>
      <c r="K88" s="4"/>
      <c r="L88" s="15">
        <v>4258300525120</v>
      </c>
      <c r="M88" s="4"/>
      <c r="N88" s="55">
        <v>-2647819222.08285</v>
      </c>
      <c r="O88" s="53">
        <v>9.5000000000000001E-2</v>
      </c>
      <c r="P88" s="53">
        <v>-3.5000000000000003E-2</v>
      </c>
      <c r="Q88" s="15">
        <f>4636713060038+936153661759</f>
        <v>5572866721797</v>
      </c>
      <c r="R88" s="4"/>
      <c r="S88" s="4"/>
      <c r="U88" s="2">
        <v>86</v>
      </c>
      <c r="V88" s="4"/>
      <c r="W88" s="2">
        <v>2020</v>
      </c>
      <c r="X88" s="4">
        <v>4.1205868705843557E-2</v>
      </c>
    </row>
    <row r="89" spans="1:24" x14ac:dyDescent="0.35">
      <c r="A89" s="6">
        <v>87</v>
      </c>
      <c r="B89" s="7"/>
      <c r="C89" s="8">
        <v>2019</v>
      </c>
      <c r="D89" s="16">
        <v>2051404206764</v>
      </c>
      <c r="E89" s="16">
        <v>3303846262119</v>
      </c>
      <c r="F89" s="16">
        <f t="shared" si="86"/>
        <v>-1252442055355</v>
      </c>
      <c r="G89" s="16">
        <v>19037918806473</v>
      </c>
      <c r="H89" s="4">
        <f>F89/G88</f>
        <v>-7.1195029349670799E-2</v>
      </c>
      <c r="I89" s="4">
        <f>1/G88</f>
        <v>5.6844968631695165E-14</v>
      </c>
      <c r="J89" s="16">
        <v>25026739472547</v>
      </c>
      <c r="K89" s="4">
        <f>(J89-J88)/G88</f>
        <v>5.4908662832137911E-2</v>
      </c>
      <c r="L89" s="16">
        <v>4674963819225</v>
      </c>
      <c r="M89" s="4">
        <f>L89/G88</f>
        <v>0.26574817165815495</v>
      </c>
      <c r="N89" s="55">
        <v>-2647819222.08285</v>
      </c>
      <c r="O89" s="53">
        <v>9.5000000000000001E-2</v>
      </c>
      <c r="P89" s="53">
        <v>-3.5000000000000003E-2</v>
      </c>
      <c r="Q89" s="16">
        <f>4745854148720+115613990045</f>
        <v>4861468138765</v>
      </c>
      <c r="R89" s="4">
        <f>SUM((N89*I89)+(O89*(((J89-J88)-(Q89-Q88))/G88))+(P89*M89))</f>
        <v>-3.936323765808096E-4</v>
      </c>
      <c r="S89" s="4">
        <f>SUM(H89-R89)</f>
        <v>-7.0801396973089986E-2</v>
      </c>
      <c r="U89" s="2">
        <v>87</v>
      </c>
      <c r="V89" s="4"/>
      <c r="W89" s="2">
        <v>2021</v>
      </c>
      <c r="X89" s="4">
        <v>3.5590478737230029E-2</v>
      </c>
    </row>
    <row r="90" spans="1:24" x14ac:dyDescent="0.35">
      <c r="A90" s="6">
        <v>88</v>
      </c>
      <c r="B90" s="9"/>
      <c r="C90" s="6">
        <v>2020</v>
      </c>
      <c r="D90" s="16">
        <v>2098168514645</v>
      </c>
      <c r="E90" s="16">
        <v>3715832449186</v>
      </c>
      <c r="F90" s="16">
        <f t="shared" si="86"/>
        <v>-1617663934541</v>
      </c>
      <c r="G90" s="16">
        <v>19777500514550</v>
      </c>
      <c r="H90" s="4">
        <f t="shared" ref="H90:H92" si="105">F90/G89</f>
        <v>-8.4970628931928485E-2</v>
      </c>
      <c r="I90" s="4">
        <f t="shared" ref="I90:I92" si="106">1/G89</f>
        <v>5.2526749912390335E-14</v>
      </c>
      <c r="J90" s="16">
        <v>24476953742651</v>
      </c>
      <c r="K90" s="4">
        <f t="shared" ref="K90:K92" si="107">(J90-J89)/G89</f>
        <v>-2.8878457539648177E-2</v>
      </c>
      <c r="L90" s="16">
        <v>6043201970326</v>
      </c>
      <c r="M90" s="4">
        <f t="shared" ref="M90:M92" si="108">L90/G89</f>
        <v>0.31742975856537831</v>
      </c>
      <c r="N90" s="55">
        <v>-2647819222.08285</v>
      </c>
      <c r="O90" s="53">
        <v>9.5000000000000001E-2</v>
      </c>
      <c r="P90" s="53">
        <v>-3.5000000000000003E-2</v>
      </c>
      <c r="Q90" s="16">
        <f>5333380386497+130604357590</f>
        <v>5463984744087</v>
      </c>
      <c r="R90" s="4">
        <f t="shared" ref="R90:R92" si="109">SUM((N90*I90)+(O90*(((J90-J89)-(Q90-Q89))/G89))+(P90*M90))</f>
        <v>-1.6999159063498439E-2</v>
      </c>
      <c r="S90" s="4">
        <f t="shared" ref="S90:S92" si="110">SUM(H90-R90)</f>
        <v>-6.7971469868430043E-2</v>
      </c>
      <c r="U90" s="2">
        <v>88</v>
      </c>
      <c r="V90" s="4"/>
      <c r="W90" s="2">
        <v>2022</v>
      </c>
      <c r="X90" s="4">
        <v>2.9097083527500692E-4</v>
      </c>
    </row>
    <row r="91" spans="1:24" x14ac:dyDescent="0.35">
      <c r="A91" s="6">
        <v>89</v>
      </c>
      <c r="B91" s="9"/>
      <c r="C91" s="6">
        <v>2021</v>
      </c>
      <c r="D91" s="16">
        <v>1211052647953</v>
      </c>
      <c r="E91" s="16">
        <v>1041955003348</v>
      </c>
      <c r="F91" s="16">
        <f t="shared" si="86"/>
        <v>169097644605</v>
      </c>
      <c r="G91" s="16">
        <v>19917653265528</v>
      </c>
      <c r="H91" s="4">
        <f t="shared" si="105"/>
        <v>8.5500007688331242E-3</v>
      </c>
      <c r="I91" s="4">
        <f t="shared" si="106"/>
        <v>5.0562506584910237E-14</v>
      </c>
      <c r="J91" s="16">
        <v>27904558322183</v>
      </c>
      <c r="K91" s="4">
        <f t="shared" si="107"/>
        <v>0.17330827912305524</v>
      </c>
      <c r="L91" s="16">
        <v>6376788515278</v>
      </c>
      <c r="M91" s="4">
        <f t="shared" si="108"/>
        <v>0.32242641129432387</v>
      </c>
      <c r="N91" s="55">
        <v>-2647819222.08285</v>
      </c>
      <c r="O91" s="53">
        <v>9.5000000000000001E-2</v>
      </c>
      <c r="P91" s="53">
        <v>-3.5000000000000003E-2</v>
      </c>
      <c r="Q91" s="16">
        <f>5552851482405+358952306318</f>
        <v>5911803788723</v>
      </c>
      <c r="R91" s="4">
        <f t="shared" si="109"/>
        <v>2.894410672177378E-3</v>
      </c>
      <c r="S91" s="4">
        <f t="shared" si="110"/>
        <v>5.6555900966557462E-3</v>
      </c>
      <c r="U91" s="2">
        <v>89</v>
      </c>
      <c r="V91" s="3" t="s">
        <v>25</v>
      </c>
      <c r="W91" s="5">
        <v>2019</v>
      </c>
      <c r="X91" s="4">
        <v>1.8033972175821127E-2</v>
      </c>
    </row>
    <row r="92" spans="1:24" x14ac:dyDescent="0.35">
      <c r="A92" s="6">
        <v>90</v>
      </c>
      <c r="B92" s="9"/>
      <c r="C92" s="6">
        <v>2022</v>
      </c>
      <c r="D92" s="16">
        <v>1970064538149</v>
      </c>
      <c r="E92" s="16">
        <v>1619570638186</v>
      </c>
      <c r="F92" s="16">
        <f t="shared" si="86"/>
        <v>350493899963</v>
      </c>
      <c r="G92" s="16">
        <v>22276160695411</v>
      </c>
      <c r="H92" s="4">
        <f t="shared" si="105"/>
        <v>1.7597148383419692E-2</v>
      </c>
      <c r="I92" s="4">
        <f t="shared" si="106"/>
        <v>5.0206717963643135E-14</v>
      </c>
      <c r="J92" s="16">
        <v>30669405967404</v>
      </c>
      <c r="K92" s="4">
        <f t="shared" si="107"/>
        <v>0.1388139259360536</v>
      </c>
      <c r="L92" s="16">
        <v>6644507001686</v>
      </c>
      <c r="M92" s="4">
        <f t="shared" si="108"/>
        <v>0.33359888904110108</v>
      </c>
      <c r="N92" s="55">
        <v>-2647819222.08285</v>
      </c>
      <c r="O92" s="53">
        <v>9.5000000000000001E-2</v>
      </c>
      <c r="P92" s="53">
        <v>-3.5000000000000003E-2</v>
      </c>
      <c r="Q92" s="16">
        <f>6135528728699+353876660824</f>
        <v>6489405389523</v>
      </c>
      <c r="R92" s="4">
        <f t="shared" si="109"/>
        <v>-1.376527128753139E-3</v>
      </c>
      <c r="S92" s="4">
        <f t="shared" si="110"/>
        <v>1.8973675512172831E-2</v>
      </c>
      <c r="U92" s="2">
        <v>90</v>
      </c>
      <c r="V92" s="4"/>
      <c r="W92" s="2">
        <v>2020</v>
      </c>
      <c r="X92" s="4">
        <v>9.8973442922154539E-3</v>
      </c>
    </row>
    <row r="93" spans="1:24" x14ac:dyDescent="0.35">
      <c r="A93" s="6">
        <v>91</v>
      </c>
      <c r="B93" s="7" t="s">
        <v>21</v>
      </c>
      <c r="C93" s="8">
        <v>2018</v>
      </c>
      <c r="D93" s="15"/>
      <c r="E93" s="15"/>
      <c r="F93" s="16"/>
      <c r="G93" s="16">
        <v>4393810380883</v>
      </c>
      <c r="H93" s="4"/>
      <c r="I93" s="4"/>
      <c r="J93" s="15">
        <v>2766545866684</v>
      </c>
      <c r="K93" s="4"/>
      <c r="L93" s="15">
        <v>2222133112899</v>
      </c>
      <c r="M93" s="4"/>
      <c r="N93" s="55">
        <v>-2647819222.08285</v>
      </c>
      <c r="O93" s="53">
        <v>9.5000000000000001E-2</v>
      </c>
      <c r="P93" s="53">
        <v>-3.5000000000000003E-2</v>
      </c>
      <c r="Q93" s="15">
        <f>206166236967+206783616894</f>
        <v>412949853861</v>
      </c>
      <c r="R93" s="4"/>
      <c r="S93" s="4"/>
      <c r="U93" s="2">
        <v>91</v>
      </c>
      <c r="V93" s="4"/>
      <c r="W93" s="2">
        <v>2021</v>
      </c>
      <c r="X93" s="4">
        <v>3.5524529044549842E-2</v>
      </c>
    </row>
    <row r="94" spans="1:24" x14ac:dyDescent="0.35">
      <c r="A94" s="6">
        <v>92</v>
      </c>
      <c r="B94" s="7"/>
      <c r="C94" s="8">
        <v>2019</v>
      </c>
      <c r="D94" s="16">
        <v>236518557420</v>
      </c>
      <c r="E94" s="16">
        <v>479788528325</v>
      </c>
      <c r="F94" s="16">
        <f t="shared" si="86"/>
        <v>-243269970905</v>
      </c>
      <c r="G94" s="16">
        <v>4682083844951</v>
      </c>
      <c r="H94" s="4">
        <f>F94/G93</f>
        <v>-5.5366515579152363E-2</v>
      </c>
      <c r="I94" s="4">
        <f>1/G93</f>
        <v>2.2759288938614496E-13</v>
      </c>
      <c r="J94" s="16">
        <v>3337022314624</v>
      </c>
      <c r="K94" s="4">
        <f>(J94-J93)/G93</f>
        <v>0.12983638311340928</v>
      </c>
      <c r="L94" s="16">
        <v>2540413874692</v>
      </c>
      <c r="M94" s="4">
        <f>L94/G93</f>
        <v>0.57818013397780421</v>
      </c>
      <c r="N94" s="55">
        <v>-2647819222.08285</v>
      </c>
      <c r="O94" s="53">
        <v>9.5000000000000001E-2</v>
      </c>
      <c r="P94" s="53">
        <v>-3.5000000000000003E-2</v>
      </c>
      <c r="Q94" s="16">
        <f>282085488326+199487612360</f>
        <v>481573100686</v>
      </c>
      <c r="R94" s="4">
        <f>SUM((N94*I94)+(O94*(((J94-J93)-(Q94-Q93))/G93))+(P94*M94))</f>
        <v>-9.9881986080515121E-3</v>
      </c>
      <c r="S94" s="4">
        <f>SUM(H94-R94)</f>
        <v>-4.5378316971100854E-2</v>
      </c>
      <c r="U94" s="2">
        <v>92</v>
      </c>
      <c r="V94" s="4"/>
      <c r="W94" s="2">
        <v>2022</v>
      </c>
      <c r="X94" s="4">
        <v>2.8926125678847163E-2</v>
      </c>
    </row>
    <row r="95" spans="1:24" x14ac:dyDescent="0.35">
      <c r="A95" s="6">
        <v>93</v>
      </c>
      <c r="B95" s="9"/>
      <c r="C95" s="6">
        <v>2020</v>
      </c>
      <c r="D95" s="16">
        <v>168610282478</v>
      </c>
      <c r="E95" s="16">
        <v>486591578118</v>
      </c>
      <c r="F95" s="16">
        <f t="shared" si="86"/>
        <v>-317981295640</v>
      </c>
      <c r="G95" s="16">
        <v>4452166671985</v>
      </c>
      <c r="H95" s="4">
        <f t="shared" ref="H95:H97" si="111">F95/G94</f>
        <v>-6.791448128014628E-2</v>
      </c>
      <c r="I95" s="4">
        <f t="shared" ref="I95:I97" si="112">1/G94</f>
        <v>2.1358011370906267E-13</v>
      </c>
      <c r="J95" s="16">
        <v>3212034546032</v>
      </c>
      <c r="K95" s="4">
        <f t="shared" ref="K95:K97" si="113">(J95-J94)/G94</f>
        <v>-2.6694901828121374E-2</v>
      </c>
      <c r="L95" s="16">
        <v>2434486072405</v>
      </c>
      <c r="M95" s="4">
        <f t="shared" ref="M95:M97" si="114">L95/G94</f>
        <v>0.51995781216738934</v>
      </c>
      <c r="N95" s="55">
        <v>-2647819222.08285</v>
      </c>
      <c r="O95" s="53">
        <v>9.5000000000000001E-2</v>
      </c>
      <c r="P95" s="53">
        <v>-3.5000000000000003E-2</v>
      </c>
      <c r="Q95" s="16">
        <f>176075299580+169703141320</f>
        <v>345778440900</v>
      </c>
      <c r="R95" s="4">
        <f t="shared" ref="R95:R97" si="115">SUM((N95*I95)+(O95*(((J95-J94)-(Q95-Q94))/G94))+(P95*M95))</f>
        <v>-1.8544771936636804E-2</v>
      </c>
      <c r="S95" s="4">
        <f t="shared" ref="S95:S97" si="116">SUM(H95-R95)</f>
        <v>-4.9369709343509476E-2</v>
      </c>
      <c r="U95" s="2">
        <v>93</v>
      </c>
      <c r="V95" s="3" t="s">
        <v>26</v>
      </c>
      <c r="W95" s="5">
        <v>2019</v>
      </c>
      <c r="X95" s="4">
        <v>-1.1062095344081348E-2</v>
      </c>
    </row>
    <row r="96" spans="1:24" x14ac:dyDescent="0.35">
      <c r="A96" s="6">
        <v>94</v>
      </c>
      <c r="B96" s="9"/>
      <c r="C96" s="6">
        <v>2021</v>
      </c>
      <c r="D96" s="16">
        <v>283602993676</v>
      </c>
      <c r="E96" s="16">
        <v>643601152274</v>
      </c>
      <c r="F96" s="16">
        <f t="shared" si="86"/>
        <v>-359998158598</v>
      </c>
      <c r="G96" s="16">
        <v>4191284422677</v>
      </c>
      <c r="H96" s="4">
        <f t="shared" si="111"/>
        <v>-8.0859092913854166E-2</v>
      </c>
      <c r="I96" s="4">
        <f t="shared" si="112"/>
        <v>2.2460974030744218E-13</v>
      </c>
      <c r="J96" s="16">
        <v>3287623237457</v>
      </c>
      <c r="K96" s="4">
        <f t="shared" si="113"/>
        <v>1.6977956351148633E-2</v>
      </c>
      <c r="L96" s="16">
        <v>2492863630370</v>
      </c>
      <c r="M96" s="4">
        <f t="shared" si="114"/>
        <v>0.55992145263927329</v>
      </c>
      <c r="N96" s="55">
        <v>-2647819222.08285</v>
      </c>
      <c r="O96" s="53">
        <v>9.5000000000000001E-2</v>
      </c>
      <c r="P96" s="53">
        <v>-3.5000000000000003E-2</v>
      </c>
      <c r="Q96" s="16">
        <f>185850582845+193582865936</f>
        <v>379433448781</v>
      </c>
      <c r="R96" s="4">
        <f t="shared" si="115"/>
        <v>-1.929719902198718E-2</v>
      </c>
      <c r="S96" s="4">
        <f t="shared" si="116"/>
        <v>-6.1561893891866989E-2</v>
      </c>
      <c r="U96" s="2">
        <v>94</v>
      </c>
      <c r="V96" s="4"/>
      <c r="W96" s="2">
        <v>2020</v>
      </c>
      <c r="X96" s="4">
        <v>-9.7782071809244184E-2</v>
      </c>
    </row>
    <row r="97" spans="1:24" x14ac:dyDescent="0.35">
      <c r="A97" s="6">
        <v>95</v>
      </c>
      <c r="B97" s="9"/>
      <c r="C97" s="6">
        <v>2022</v>
      </c>
      <c r="D97" s="16">
        <v>432247722254</v>
      </c>
      <c r="E97" s="16">
        <v>726581686414</v>
      </c>
      <c r="F97" s="16">
        <f t="shared" si="86"/>
        <v>-294333964160</v>
      </c>
      <c r="G97" s="16">
        <v>4130321616083</v>
      </c>
      <c r="H97" s="4">
        <f t="shared" si="111"/>
        <v>-7.0225242306988803E-2</v>
      </c>
      <c r="I97" s="4">
        <f t="shared" si="112"/>
        <v>2.3859034585901324E-13</v>
      </c>
      <c r="J97" s="16">
        <v>3935182048668</v>
      </c>
      <c r="K97" s="4">
        <f t="shared" si="113"/>
        <v>0.15450128073088393</v>
      </c>
      <c r="L97" s="16">
        <v>2493688426380</v>
      </c>
      <c r="M97" s="4">
        <f t="shared" si="114"/>
        <v>0.59496998411462265</v>
      </c>
      <c r="N97" s="55">
        <v>-2647819222.08285</v>
      </c>
      <c r="O97" s="53">
        <v>9.5000000000000001E-2</v>
      </c>
      <c r="P97" s="53">
        <v>-3.5000000000000003E-2</v>
      </c>
      <c r="Q97" s="16">
        <f>248296556758+239881553735</f>
        <v>488178110493</v>
      </c>
      <c r="R97" s="4">
        <f t="shared" si="115"/>
        <v>-9.2428873911245199E-3</v>
      </c>
      <c r="S97" s="4">
        <f t="shared" si="116"/>
        <v>-6.0982354915864283E-2</v>
      </c>
      <c r="U97" s="2">
        <v>95</v>
      </c>
      <c r="V97" s="4"/>
      <c r="W97" s="2">
        <v>2021</v>
      </c>
      <c r="X97" s="4">
        <v>-6.7275345916747433E-4</v>
      </c>
    </row>
    <row r="98" spans="1:24" x14ac:dyDescent="0.35">
      <c r="A98" s="6">
        <v>96</v>
      </c>
      <c r="B98" s="7" t="s">
        <v>22</v>
      </c>
      <c r="C98" s="8">
        <v>2018</v>
      </c>
      <c r="D98" s="15"/>
      <c r="E98" s="15"/>
      <c r="F98" s="16"/>
      <c r="G98" s="16">
        <v>1771365972009</v>
      </c>
      <c r="H98" s="4"/>
      <c r="I98" s="4"/>
      <c r="J98" s="15">
        <v>1953910957160</v>
      </c>
      <c r="K98" s="4"/>
      <c r="L98" s="15">
        <v>582660258194</v>
      </c>
      <c r="M98" s="4"/>
      <c r="N98" s="55">
        <v>-2647819222.08285</v>
      </c>
      <c r="O98" s="53">
        <v>9.5000000000000001E-2</v>
      </c>
      <c r="P98" s="53">
        <v>-3.5000000000000003E-2</v>
      </c>
      <c r="Q98" s="15">
        <f>5283738253+240432219376</f>
        <v>245715957629</v>
      </c>
      <c r="R98" s="4"/>
      <c r="S98" s="4"/>
      <c r="U98" s="2">
        <v>96</v>
      </c>
      <c r="V98" s="4"/>
      <c r="W98" s="2">
        <v>2022</v>
      </c>
      <c r="X98" s="4">
        <v>-1.0784668832359054E-2</v>
      </c>
    </row>
    <row r="99" spans="1:24" x14ac:dyDescent="0.35">
      <c r="A99" s="6">
        <v>97</v>
      </c>
      <c r="B99" s="7"/>
      <c r="C99" s="8">
        <v>2019</v>
      </c>
      <c r="D99" s="16">
        <v>957169058</v>
      </c>
      <c r="E99" s="16">
        <v>-40492304852</v>
      </c>
      <c r="F99" s="16">
        <f t="shared" si="86"/>
        <v>41449473910</v>
      </c>
      <c r="G99" s="16">
        <v>1820383352811</v>
      </c>
      <c r="H99" s="4">
        <f>F99/G98</f>
        <v>2.3399723470463846E-2</v>
      </c>
      <c r="I99" s="4">
        <f>1/G98</f>
        <v>5.645360788238734E-13</v>
      </c>
      <c r="J99" s="16">
        <v>2104704872583</v>
      </c>
      <c r="K99" s="4">
        <f>(J99-J98)/G98</f>
        <v>8.5128605723399225E-2</v>
      </c>
      <c r="L99" s="16">
        <v>602802562379</v>
      </c>
      <c r="M99" s="4">
        <f>L99/G98</f>
        <v>0.340303794870424</v>
      </c>
      <c r="N99" s="55">
        <v>-2647819222.08285</v>
      </c>
      <c r="O99" s="53">
        <v>9.5000000000000001E-2</v>
      </c>
      <c r="P99" s="53">
        <v>-3.5000000000000003E-2</v>
      </c>
      <c r="Q99" s="16">
        <f>2323970424+275609501615</f>
        <v>277933472039</v>
      </c>
      <c r="R99" s="4">
        <f>SUM((N99*I99)+(O99*(((J99-J98)-(Q99-Q98))/G98))+(P99*M99))</f>
        <v>-7.0460599369859839E-3</v>
      </c>
      <c r="S99" s="4">
        <f>SUM(H99-R99)</f>
        <v>3.0445783407449828E-2</v>
      </c>
      <c r="U99" s="2">
        <v>97</v>
      </c>
      <c r="V99" s="3" t="s">
        <v>27</v>
      </c>
      <c r="W99" s="5">
        <v>2019</v>
      </c>
      <c r="X99" s="4">
        <v>-1.4886116659223774E-2</v>
      </c>
    </row>
    <row r="100" spans="1:24" x14ac:dyDescent="0.35">
      <c r="A100" s="6">
        <v>98</v>
      </c>
      <c r="B100" s="9"/>
      <c r="C100" s="6">
        <v>2020</v>
      </c>
      <c r="D100" s="16">
        <v>5415741808</v>
      </c>
      <c r="E100" s="16">
        <v>19707485134</v>
      </c>
      <c r="F100" s="16">
        <f t="shared" si="86"/>
        <v>-14291743326</v>
      </c>
      <c r="G100" s="16">
        <v>1768660546754</v>
      </c>
      <c r="H100" s="4">
        <f t="shared" ref="H100:H102" si="117">F100/G99</f>
        <v>-7.8509525501488306E-3</v>
      </c>
      <c r="I100" s="4">
        <f t="shared" ref="I100:I102" si="118">1/G99</f>
        <v>5.4933484117827146E-13</v>
      </c>
      <c r="J100" s="16">
        <v>3165530224724</v>
      </c>
      <c r="K100" s="4">
        <f t="shared" ref="K100:K102" si="119">(J100-J99)/G99</f>
        <v>0.58274832633626017</v>
      </c>
      <c r="L100" s="16">
        <v>440748401586</v>
      </c>
      <c r="M100" s="4">
        <f t="shared" ref="M100:M102" si="120">L100/G99</f>
        <v>0.24211845318482234</v>
      </c>
      <c r="N100" s="55">
        <v>-2647819222.08285</v>
      </c>
      <c r="O100" s="53">
        <v>9.5000000000000001E-2</v>
      </c>
      <c r="P100" s="53">
        <v>-3.5000000000000003E-2</v>
      </c>
      <c r="Q100" s="16">
        <f>4818811584+355583321595</f>
        <v>360402133179</v>
      </c>
      <c r="R100" s="4">
        <f t="shared" ref="R100:R102" si="121">SUM((N100*I100)+(O100*(((J100-J99)-(Q100-Q99))/G99))+(P100*M100))</f>
        <v>4.1128629446039254E-2</v>
      </c>
      <c r="S100" s="4">
        <f t="shared" ref="S100:S102" si="122">SUM(H100-R100)</f>
        <v>-4.8979581996188085E-2</v>
      </c>
      <c r="U100" s="2">
        <v>98</v>
      </c>
      <c r="V100" s="4"/>
      <c r="W100" s="2">
        <v>2020</v>
      </c>
      <c r="X100" s="4">
        <v>4.3905100645440356E-2</v>
      </c>
    </row>
    <row r="101" spans="1:24" x14ac:dyDescent="0.35">
      <c r="A101" s="6">
        <v>99</v>
      </c>
      <c r="B101" s="9"/>
      <c r="C101" s="6">
        <v>2021</v>
      </c>
      <c r="D101" s="16">
        <v>29707421605</v>
      </c>
      <c r="E101" s="16">
        <v>-44970462418</v>
      </c>
      <c r="F101" s="16">
        <f t="shared" si="86"/>
        <v>74677884023</v>
      </c>
      <c r="G101" s="16">
        <v>1970428120056</v>
      </c>
      <c r="H101" s="4">
        <f t="shared" si="117"/>
        <v>4.2222847204940121E-2</v>
      </c>
      <c r="I101" s="4">
        <f t="shared" si="118"/>
        <v>5.6539961940989028E-13</v>
      </c>
      <c r="J101" s="16">
        <v>3847887478570</v>
      </c>
      <c r="K101" s="4">
        <f t="shared" si="119"/>
        <v>0.38580453162610628</v>
      </c>
      <c r="L101" s="16">
        <v>440353396212</v>
      </c>
      <c r="M101" s="4">
        <f t="shared" si="120"/>
        <v>0.24897564262411739</v>
      </c>
      <c r="N101" s="55">
        <v>-2647819222.08285</v>
      </c>
      <c r="O101" s="53">
        <v>9.5000000000000001E-2</v>
      </c>
      <c r="P101" s="53">
        <v>-3.5000000000000003E-2</v>
      </c>
      <c r="Q101" s="16">
        <f>7086068357+443947525518</f>
        <v>451033593875</v>
      </c>
      <c r="R101" s="4">
        <f t="shared" si="121"/>
        <v>2.1572122660716477E-2</v>
      </c>
      <c r="S101" s="4">
        <f t="shared" si="122"/>
        <v>2.0650724544223644E-2</v>
      </c>
      <c r="U101" s="2">
        <v>99</v>
      </c>
      <c r="V101" s="4"/>
      <c r="W101" s="2">
        <v>2021</v>
      </c>
      <c r="X101" s="4">
        <v>-4.8782203313897696E-2</v>
      </c>
    </row>
    <row r="102" spans="1:24" x14ac:dyDescent="0.35">
      <c r="A102" s="6">
        <v>100</v>
      </c>
      <c r="B102" s="9"/>
      <c r="C102" s="6">
        <v>2022</v>
      </c>
      <c r="D102" s="16">
        <v>86635603936</v>
      </c>
      <c r="E102" s="16">
        <v>102191880734</v>
      </c>
      <c r="F102" s="16">
        <f t="shared" si="86"/>
        <v>-15556276798</v>
      </c>
      <c r="G102" s="16">
        <v>2042199577083</v>
      </c>
      <c r="H102" s="4">
        <f t="shared" si="117"/>
        <v>-7.894871495011899E-3</v>
      </c>
      <c r="I102" s="4">
        <f t="shared" si="118"/>
        <v>5.0750392253414435E-13</v>
      </c>
      <c r="J102" s="16">
        <v>3802296289773</v>
      </c>
      <c r="K102" s="4">
        <f t="shared" si="119"/>
        <v>-2.313770714747224E-2</v>
      </c>
      <c r="L102" s="16">
        <v>421445662260</v>
      </c>
      <c r="M102" s="4">
        <f t="shared" si="120"/>
        <v>0.21388532673195021</v>
      </c>
      <c r="N102" s="55">
        <v>-2647819222.08285</v>
      </c>
      <c r="O102" s="53">
        <v>9.5000000000000001E-2</v>
      </c>
      <c r="P102" s="53">
        <v>-3.5000000000000003E-2</v>
      </c>
      <c r="Q102" s="16">
        <f>2759119056+446016275414</f>
        <v>448775394470</v>
      </c>
      <c r="R102" s="4">
        <f t="shared" si="121"/>
        <v>-1.0918972975685805E-2</v>
      </c>
      <c r="S102" s="4">
        <f t="shared" si="122"/>
        <v>3.0241014806739065E-3</v>
      </c>
      <c r="U102" s="2">
        <v>100</v>
      </c>
      <c r="V102" s="4"/>
      <c r="W102" s="2">
        <v>2022</v>
      </c>
      <c r="X102" s="4">
        <v>-1.1643583278232571E-3</v>
      </c>
    </row>
    <row r="103" spans="1:24" x14ac:dyDescent="0.35">
      <c r="A103" s="6">
        <v>101</v>
      </c>
      <c r="B103" s="7" t="s">
        <v>23</v>
      </c>
      <c r="C103" s="8">
        <v>2018</v>
      </c>
      <c r="D103" s="15"/>
      <c r="E103" s="15"/>
      <c r="F103" s="16"/>
      <c r="G103" s="16">
        <v>747293725435</v>
      </c>
      <c r="H103" s="4"/>
      <c r="I103" s="4"/>
      <c r="J103" s="15">
        <v>1045029834378</v>
      </c>
      <c r="K103" s="4"/>
      <c r="L103" s="15">
        <v>323244348971</v>
      </c>
      <c r="M103" s="4"/>
      <c r="N103" s="55">
        <v>-2647819222.08285</v>
      </c>
      <c r="O103" s="53">
        <v>9.5000000000000001E-2</v>
      </c>
      <c r="P103" s="53">
        <v>-3.5000000000000003E-2</v>
      </c>
      <c r="Q103" s="15">
        <v>1045029834378</v>
      </c>
      <c r="R103" s="4"/>
      <c r="S103" s="4"/>
      <c r="U103" s="2">
        <v>101</v>
      </c>
      <c r="V103" s="3" t="s">
        <v>28</v>
      </c>
      <c r="W103" s="5">
        <v>2019</v>
      </c>
      <c r="X103" s="4">
        <v>-0.19815454012672454</v>
      </c>
    </row>
    <row r="104" spans="1:24" x14ac:dyDescent="0.35">
      <c r="A104" s="6">
        <v>102</v>
      </c>
      <c r="B104" s="7"/>
      <c r="C104" s="8">
        <v>2019</v>
      </c>
      <c r="D104" s="16">
        <v>44943627900</v>
      </c>
      <c r="E104" s="16">
        <v>55384490788</v>
      </c>
      <c r="F104" s="16">
        <f t="shared" si="86"/>
        <v>-10440862888</v>
      </c>
      <c r="G104" s="16">
        <v>790845543826</v>
      </c>
      <c r="H104" s="4">
        <f>F104/G103</f>
        <v>-1.3971565038796986E-2</v>
      </c>
      <c r="I104" s="4">
        <f>1/G103</f>
        <v>1.3381619113928724E-12</v>
      </c>
      <c r="J104" s="16">
        <v>1281116255236</v>
      </c>
      <c r="K104" s="4">
        <f>(J104-J103)/G103</f>
        <v>0.3159218561892434</v>
      </c>
      <c r="L104" s="16">
        <v>360346292384</v>
      </c>
      <c r="M104" s="4">
        <f>L104/G103</f>
        <v>0.48220168337990832</v>
      </c>
      <c r="N104" s="55">
        <v>-2647819222.08285</v>
      </c>
      <c r="O104" s="53">
        <v>9.5000000000000001E-2</v>
      </c>
      <c r="P104" s="53">
        <v>-3.5000000000000003E-2</v>
      </c>
      <c r="Q104" s="16">
        <f>177886504926+4251875614</f>
        <v>182138380540</v>
      </c>
      <c r="R104" s="4">
        <f>SUM((N104*I104)+(O104*(((J104-J103)-(Q104-Q103))/G103))+(P104*M104))</f>
        <v>0.11928771192171725</v>
      </c>
      <c r="S104" s="4">
        <f>SUM(H104-R104)</f>
        <v>-0.13325927696051423</v>
      </c>
      <c r="U104" s="2">
        <v>102</v>
      </c>
      <c r="V104" s="4"/>
      <c r="W104" s="2">
        <v>2020</v>
      </c>
      <c r="X104" s="4">
        <v>-8.0558555605010893E-2</v>
      </c>
    </row>
    <row r="105" spans="1:24" x14ac:dyDescent="0.35">
      <c r="A105" s="6">
        <v>103</v>
      </c>
      <c r="B105" s="9"/>
      <c r="C105" s="6">
        <v>2020</v>
      </c>
      <c r="D105" s="16">
        <v>42520246722</v>
      </c>
      <c r="E105" s="16">
        <v>99975050847</v>
      </c>
      <c r="F105" s="16">
        <f t="shared" si="86"/>
        <v>-57454804125</v>
      </c>
      <c r="G105" s="16">
        <v>773863042440</v>
      </c>
      <c r="H105" s="4">
        <f t="shared" ref="H105:H107" si="123">F105/G104</f>
        <v>-7.2649842404171244E-2</v>
      </c>
      <c r="I105" s="4">
        <f t="shared" ref="I105:I107" si="124">1/G104</f>
        <v>1.2644694122725153E-12</v>
      </c>
      <c r="J105" s="16">
        <v>1253700810596</v>
      </c>
      <c r="K105" s="4">
        <f t="shared" ref="K105:K107" si="125">(J105-J104)/G104</f>
        <v>-3.4665991171130478E-2</v>
      </c>
      <c r="L105" s="16">
        <v>354930905744</v>
      </c>
      <c r="M105" s="4">
        <f t="shared" ref="M105:M107" si="126">L105/G104</f>
        <v>0.44879927378346723</v>
      </c>
      <c r="N105" s="55">
        <v>-2647819222.08285</v>
      </c>
      <c r="O105" s="53">
        <v>9.5000000000000001E-2</v>
      </c>
      <c r="P105" s="53">
        <v>-3.5000000000000003E-2</v>
      </c>
      <c r="Q105" s="16">
        <f>153898836527+3885542589</f>
        <v>157784379116</v>
      </c>
      <c r="R105" s="4">
        <f t="shared" ref="R105:R107" si="127">SUM((N105*I105)+(O105*(((J105-J104)-(Q105-Q104))/G104))+(P105*M105))</f>
        <v>-1.9423815621856237E-2</v>
      </c>
      <c r="S105" s="4">
        <f t="shared" ref="S105:S107" si="128">SUM(H105-R105)</f>
        <v>-5.3226026782315007E-2</v>
      </c>
      <c r="U105" s="2">
        <v>103</v>
      </c>
      <c r="V105" s="4"/>
      <c r="W105" s="2">
        <v>2021</v>
      </c>
      <c r="X105" s="4">
        <v>0.14315134397977927</v>
      </c>
    </row>
    <row r="106" spans="1:24" x14ac:dyDescent="0.35">
      <c r="A106" s="6">
        <v>104</v>
      </c>
      <c r="B106" s="9"/>
      <c r="C106" s="6">
        <v>2021</v>
      </c>
      <c r="D106" s="16">
        <v>84524160228</v>
      </c>
      <c r="E106" s="16">
        <v>127778774118</v>
      </c>
      <c r="F106" s="16">
        <f t="shared" si="86"/>
        <v>-43254613890</v>
      </c>
      <c r="G106" s="16">
        <v>889125250792</v>
      </c>
      <c r="H106" s="4">
        <f t="shared" si="123"/>
        <v>-5.5894404458982375E-2</v>
      </c>
      <c r="I106" s="4">
        <f t="shared" si="124"/>
        <v>1.2922183192092845E-12</v>
      </c>
      <c r="J106" s="16">
        <v>1356846112540</v>
      </c>
      <c r="K106" s="4">
        <f t="shared" si="125"/>
        <v>0.13328624871240982</v>
      </c>
      <c r="L106" s="16">
        <v>413018253918</v>
      </c>
      <c r="M106" s="4">
        <f t="shared" si="126"/>
        <v>0.53370975388067143</v>
      </c>
      <c r="N106" s="55">
        <v>-2647819222.08285</v>
      </c>
      <c r="O106" s="53">
        <v>9.5000000000000001E-2</v>
      </c>
      <c r="P106" s="53">
        <v>-3.5000000000000003E-2</v>
      </c>
      <c r="Q106" s="16">
        <f>156305738314+3431959258</f>
        <v>159737697572</v>
      </c>
      <c r="R106" s="4">
        <f t="shared" si="127"/>
        <v>-9.6789990826233168E-3</v>
      </c>
      <c r="S106" s="4">
        <f t="shared" si="128"/>
        <v>-4.6215405376359056E-2</v>
      </c>
      <c r="U106" s="2">
        <v>104</v>
      </c>
      <c r="V106" s="4"/>
      <c r="W106" s="2">
        <v>2022</v>
      </c>
      <c r="X106" s="4">
        <v>-7.396845149500933E-2</v>
      </c>
    </row>
    <row r="107" spans="1:24" x14ac:dyDescent="0.35">
      <c r="A107" s="6">
        <v>105</v>
      </c>
      <c r="B107" s="9"/>
      <c r="C107" s="6">
        <v>2022</v>
      </c>
      <c r="D107" s="16">
        <v>74865302076</v>
      </c>
      <c r="E107" s="16">
        <v>16414344843</v>
      </c>
      <c r="F107" s="16">
        <f t="shared" si="86"/>
        <v>58450957233</v>
      </c>
      <c r="G107" s="16">
        <v>1033289474829</v>
      </c>
      <c r="H107" s="4">
        <f t="shared" si="123"/>
        <v>6.5739846192574156E-2</v>
      </c>
      <c r="I107" s="4">
        <f t="shared" si="124"/>
        <v>1.1247009339901626E-12</v>
      </c>
      <c r="J107" s="16">
        <v>1539310803104</v>
      </c>
      <c r="K107" s="4">
        <f t="shared" si="125"/>
        <v>0.20521820789755682</v>
      </c>
      <c r="L107" s="16">
        <v>438766634381</v>
      </c>
      <c r="M107" s="4">
        <f t="shared" si="126"/>
        <v>0.49348124349203093</v>
      </c>
      <c r="N107" s="55">
        <v>-2647819222.08285</v>
      </c>
      <c r="O107" s="53">
        <v>9.5000000000000001E-2</v>
      </c>
      <c r="P107" s="53">
        <v>-3.5000000000000003E-2</v>
      </c>
      <c r="Q107" s="16">
        <f>179021594911+508647801</f>
        <v>179530242712</v>
      </c>
      <c r="R107" s="4">
        <f t="shared" si="127"/>
        <v>-2.8688844545419166E-3</v>
      </c>
      <c r="S107" s="4">
        <f t="shared" si="128"/>
        <v>6.8608730647116076E-2</v>
      </c>
      <c r="U107" s="2">
        <v>105</v>
      </c>
      <c r="V107" s="3" t="s">
        <v>29</v>
      </c>
      <c r="W107" s="5">
        <v>2019</v>
      </c>
      <c r="X107" s="4">
        <v>-1.2100088497000228E-2</v>
      </c>
    </row>
    <row r="108" spans="1:24" x14ac:dyDescent="0.35">
      <c r="A108" s="6">
        <v>106</v>
      </c>
      <c r="B108" s="7" t="s">
        <v>24</v>
      </c>
      <c r="C108" s="8">
        <v>2018</v>
      </c>
      <c r="D108" s="15"/>
      <c r="E108" s="15"/>
      <c r="F108" s="16"/>
      <c r="G108" s="16">
        <v>29310310000000</v>
      </c>
      <c r="H108" s="4"/>
      <c r="I108" s="4"/>
      <c r="J108" s="15">
        <v>37391643000000</v>
      </c>
      <c r="K108" s="4"/>
      <c r="L108" s="15">
        <v>11862973000000</v>
      </c>
      <c r="M108" s="4"/>
      <c r="N108" s="55">
        <v>-2647819222.08285</v>
      </c>
      <c r="O108" s="53">
        <v>9.5000000000000001E-2</v>
      </c>
      <c r="P108" s="53">
        <v>-3.5000000000000003E-2</v>
      </c>
      <c r="Q108" s="15">
        <f>2636625000000+1377893000000</f>
        <v>4014518000000</v>
      </c>
      <c r="R108" s="4"/>
      <c r="S108" s="4"/>
      <c r="U108" s="2">
        <v>106</v>
      </c>
      <c r="V108" s="4"/>
      <c r="W108" s="2">
        <v>2020</v>
      </c>
      <c r="X108" s="4">
        <v>-3.8057823453037879E-3</v>
      </c>
    </row>
    <row r="109" spans="1:24" x14ac:dyDescent="0.35">
      <c r="A109" s="6">
        <v>107</v>
      </c>
      <c r="B109" s="7"/>
      <c r="C109" s="8">
        <v>2019</v>
      </c>
      <c r="D109" s="16">
        <v>898698000000</v>
      </c>
      <c r="E109" s="16">
        <v>4105867000000</v>
      </c>
      <c r="F109" s="16">
        <f t="shared" si="86"/>
        <v>-3207169000000</v>
      </c>
      <c r="G109" s="16">
        <v>27787527000000</v>
      </c>
      <c r="H109" s="4">
        <f>F109/G108</f>
        <v>-0.10942119001811991</v>
      </c>
      <c r="I109" s="4">
        <f>1/G108</f>
        <v>3.411768759866409E-14</v>
      </c>
      <c r="J109" s="16">
        <v>36198102000000</v>
      </c>
      <c r="K109" s="4">
        <f>(J109-J108)/G108</f>
        <v>-4.0720858974197131E-2</v>
      </c>
      <c r="L109" s="16">
        <v>12017963000000</v>
      </c>
      <c r="M109" s="4">
        <f>L109/G108</f>
        <v>0.41002510720630386</v>
      </c>
      <c r="N109" s="55">
        <v>-2647819222.08285</v>
      </c>
      <c r="O109" s="53">
        <v>9.5000000000000001E-2</v>
      </c>
      <c r="P109" s="53">
        <v>-3.5000000000000003E-2</v>
      </c>
      <c r="Q109" s="16">
        <f>1880715000000+1511949000000</f>
        <v>3392664000000</v>
      </c>
      <c r="R109" s="4">
        <f>SUM((N109*I109)+(O109*(((J109-J108)-(Q109-Q108))/G108))+(P109*M109))</f>
        <v>-1.6294156875928056E-2</v>
      </c>
      <c r="S109" s="4">
        <f>SUM(H109-R109)</f>
        <v>-9.3127033142191853E-2</v>
      </c>
      <c r="U109" s="2">
        <v>107</v>
      </c>
      <c r="V109" s="4"/>
      <c r="W109" s="2">
        <v>2021</v>
      </c>
      <c r="X109" s="4">
        <v>-1.3099213647376522E-2</v>
      </c>
    </row>
    <row r="110" spans="1:24" x14ac:dyDescent="0.35">
      <c r="A110" s="6">
        <v>108</v>
      </c>
      <c r="B110" s="9"/>
      <c r="C110" s="6">
        <v>2020</v>
      </c>
      <c r="D110" s="16">
        <v>1539798000000</v>
      </c>
      <c r="E110" s="16">
        <v>623480000000</v>
      </c>
      <c r="F110" s="16">
        <f t="shared" si="86"/>
        <v>916318000000</v>
      </c>
      <c r="G110" s="16">
        <v>35026171000000</v>
      </c>
      <c r="H110" s="4">
        <f t="shared" ref="H110:H112" si="129">F110/G109</f>
        <v>3.2975874391413099E-2</v>
      </c>
      <c r="I110" s="4">
        <f t="shared" ref="I110:I112" si="130">1/G109</f>
        <v>3.5987369440972565E-14</v>
      </c>
      <c r="J110" s="16">
        <v>40434346000000</v>
      </c>
      <c r="K110" s="4">
        <f t="shared" ref="K110:K112" si="131">(J110-J109)/G109</f>
        <v>0.15245127787010337</v>
      </c>
      <c r="L110" s="16">
        <v>12249316000000</v>
      </c>
      <c r="M110" s="4">
        <f t="shared" ref="M110:M112" si="132">L110/G109</f>
        <v>0.44082066029121625</v>
      </c>
      <c r="N110" s="55">
        <v>-2647819222.08285</v>
      </c>
      <c r="O110" s="53">
        <v>9.5000000000000001E-2</v>
      </c>
      <c r="P110" s="53">
        <v>-3.5000000000000003E-2</v>
      </c>
      <c r="Q110" s="16">
        <f>2799199000000+2696207000000</f>
        <v>5495406000000</v>
      </c>
      <c r="R110" s="4">
        <f t="shared" ref="R110:R112" si="133">SUM((N110*I110)+(O110*(((J110-J109)-(Q110-Q109))/G109))+(P110*M110))</f>
        <v>-8.2299943144304583E-3</v>
      </c>
      <c r="S110" s="4">
        <f t="shared" ref="S110:S112" si="134">SUM(H110-R110)</f>
        <v>4.1205868705843557E-2</v>
      </c>
      <c r="U110" s="2">
        <v>108</v>
      </c>
      <c r="V110" s="4"/>
      <c r="W110" s="2">
        <v>2022</v>
      </c>
      <c r="X110" s="4">
        <v>9.2820617036713404E-2</v>
      </c>
    </row>
    <row r="111" spans="1:24" x14ac:dyDescent="0.35">
      <c r="A111" s="6">
        <v>109</v>
      </c>
      <c r="B111" s="9"/>
      <c r="C111" s="6">
        <v>2021</v>
      </c>
      <c r="D111" s="16">
        <v>2829418000000</v>
      </c>
      <c r="E111" s="16">
        <v>650500000000</v>
      </c>
      <c r="F111" s="16">
        <f t="shared" si="86"/>
        <v>2178918000000</v>
      </c>
      <c r="G111" s="16">
        <v>40345003000000</v>
      </c>
      <c r="H111" s="4">
        <f t="shared" si="129"/>
        <v>6.2208284199834464E-2</v>
      </c>
      <c r="I111" s="4">
        <f t="shared" si="130"/>
        <v>2.8550080452699209E-14</v>
      </c>
      <c r="J111" s="16">
        <v>57004234000000</v>
      </c>
      <c r="K111" s="4">
        <f t="shared" si="131"/>
        <v>0.47307163549221526</v>
      </c>
      <c r="L111" s="16">
        <v>12003892000000</v>
      </c>
      <c r="M111" s="4">
        <f t="shared" si="132"/>
        <v>0.34271208234551243</v>
      </c>
      <c r="N111" s="55">
        <v>-2647819222.08285</v>
      </c>
      <c r="O111" s="53">
        <v>9.5000000000000001E-2</v>
      </c>
      <c r="P111" s="53">
        <v>-3.5000000000000003E-2</v>
      </c>
      <c r="Q111" s="16">
        <f>4173388000000+3627655000000</f>
        <v>7801043000000</v>
      </c>
      <c r="R111" s="4">
        <f t="shared" si="133"/>
        <v>2.6617805462604435E-2</v>
      </c>
      <c r="S111" s="4">
        <f t="shared" si="134"/>
        <v>3.5590478737230029E-2</v>
      </c>
      <c r="U111" s="56">
        <v>109</v>
      </c>
      <c r="V111" s="57" t="s">
        <v>65</v>
      </c>
      <c r="W111" s="58">
        <v>2019</v>
      </c>
      <c r="X111" s="4">
        <v>-0.11254030174178091</v>
      </c>
    </row>
    <row r="112" spans="1:24" x14ac:dyDescent="0.35">
      <c r="A112" s="6">
        <v>110</v>
      </c>
      <c r="B112" s="9"/>
      <c r="C112" s="6">
        <v>2022</v>
      </c>
      <c r="D112" s="16">
        <v>5504956000000</v>
      </c>
      <c r="E112" s="16">
        <v>4283273000000</v>
      </c>
      <c r="F112" s="16">
        <f t="shared" si="86"/>
        <v>1221683000000</v>
      </c>
      <c r="G112" s="16">
        <v>42600814000000</v>
      </c>
      <c r="H112" s="4">
        <f t="shared" si="129"/>
        <v>3.0280899966719545E-2</v>
      </c>
      <c r="I112" s="4">
        <f t="shared" si="130"/>
        <v>2.4786217019242754E-14</v>
      </c>
      <c r="J112" s="16">
        <v>75045559000000</v>
      </c>
      <c r="K112" s="4">
        <f t="shared" si="131"/>
        <v>0.44717619676468978</v>
      </c>
      <c r="L112" s="16">
        <v>12388624000000</v>
      </c>
      <c r="M112" s="4">
        <f t="shared" si="132"/>
        <v>0.30706712303379924</v>
      </c>
      <c r="N112" s="55">
        <v>-2647819222.08285</v>
      </c>
      <c r="O112" s="53">
        <v>9.5000000000000001E-2</v>
      </c>
      <c r="P112" s="53">
        <v>-3.5000000000000003E-2</v>
      </c>
      <c r="Q112" s="16">
        <f>6389257000000+2124759000000</f>
        <v>8514016000000</v>
      </c>
      <c r="R112" s="4">
        <f t="shared" si="133"/>
        <v>2.9989929131444538E-2</v>
      </c>
      <c r="S112" s="4">
        <f t="shared" si="134"/>
        <v>2.9097083527500692E-4</v>
      </c>
      <c r="U112" s="2">
        <v>110</v>
      </c>
      <c r="V112" s="3"/>
      <c r="W112" s="2">
        <v>2020</v>
      </c>
      <c r="X112" s="4">
        <v>-6.3250277190509074E-2</v>
      </c>
    </row>
    <row r="113" spans="1:24" x14ac:dyDescent="0.35">
      <c r="A113" s="6">
        <v>111</v>
      </c>
      <c r="B113" s="7" t="s">
        <v>25</v>
      </c>
      <c r="C113" s="8">
        <v>2018</v>
      </c>
      <c r="D113" s="15"/>
      <c r="E113" s="15"/>
      <c r="F113" s="16"/>
      <c r="G113" s="16">
        <v>11296112298000</v>
      </c>
      <c r="H113" s="4"/>
      <c r="I113" s="4"/>
      <c r="J113" s="15">
        <v>3710780545000</v>
      </c>
      <c r="K113" s="4"/>
      <c r="L113" s="15">
        <v>4579445684000</v>
      </c>
      <c r="M113" s="4"/>
      <c r="N113" s="55">
        <v>-2647819222.08285</v>
      </c>
      <c r="O113" s="53">
        <v>9.5000000000000001E-2</v>
      </c>
      <c r="P113" s="53">
        <v>-3.5000000000000003E-2</v>
      </c>
      <c r="Q113" s="15">
        <f>137239526000+52670229000</f>
        <v>189909755000</v>
      </c>
      <c r="R113" s="4"/>
      <c r="S113" s="4"/>
      <c r="U113" s="2">
        <v>111</v>
      </c>
      <c r="V113" s="3"/>
      <c r="W113" s="2">
        <v>2021</v>
      </c>
      <c r="X113" s="4">
        <v>-4.9193812465739263E-2</v>
      </c>
    </row>
    <row r="114" spans="1:24" x14ac:dyDescent="0.35">
      <c r="A114" s="6">
        <v>112</v>
      </c>
      <c r="B114" s="7"/>
      <c r="C114" s="8">
        <v>2019</v>
      </c>
      <c r="D114" s="16">
        <v>12081959000</v>
      </c>
      <c r="E114" s="16">
        <v>10739851000</v>
      </c>
      <c r="F114" s="16">
        <f t="shared" si="86"/>
        <v>1342108000</v>
      </c>
      <c r="G114" s="16">
        <v>11845204657000</v>
      </c>
      <c r="H114" s="4">
        <f>F114/G113</f>
        <v>1.1881149590179119E-4</v>
      </c>
      <c r="I114" s="4">
        <f>1/G113</f>
        <v>8.852603210903384E-14</v>
      </c>
      <c r="J114" s="16">
        <v>3277806795000</v>
      </c>
      <c r="K114" s="4">
        <f>(J114-J113)/G113</f>
        <v>-3.8329448094868789E-2</v>
      </c>
      <c r="L114" s="16">
        <v>4642393712000</v>
      </c>
      <c r="M114" s="4">
        <f>L114/G113</f>
        <v>0.41097269481128879</v>
      </c>
      <c r="N114" s="55">
        <v>-2647819222.08285</v>
      </c>
      <c r="O114" s="53">
        <v>9.5000000000000001E-2</v>
      </c>
      <c r="P114" s="53">
        <v>-3.5000000000000003E-2</v>
      </c>
      <c r="Q114" s="16">
        <f>138036140000+10900578000</f>
        <v>148936718000</v>
      </c>
      <c r="R114" s="4">
        <f>SUM((N114*I114)+(O114*(((J114-J113)-(Q114-Q113))/G113))+(P114*M114))</f>
        <v>-1.7915160679919336E-2</v>
      </c>
      <c r="S114" s="4">
        <f>SUM(H114-R114)</f>
        <v>1.8033972175821127E-2</v>
      </c>
      <c r="U114" s="2">
        <v>112</v>
      </c>
      <c r="V114" s="3"/>
      <c r="W114" s="2">
        <v>2022</v>
      </c>
      <c r="X114" s="4">
        <v>-9.0346991238044148E-3</v>
      </c>
    </row>
    <row r="115" spans="1:24" x14ac:dyDescent="0.35">
      <c r="A115" s="6">
        <v>113</v>
      </c>
      <c r="B115" s="9"/>
      <c r="C115" s="6">
        <v>2020</v>
      </c>
      <c r="D115" s="16">
        <v>580854940000</v>
      </c>
      <c r="E115" s="16">
        <v>586013180000</v>
      </c>
      <c r="F115" s="16">
        <f t="shared" si="86"/>
        <v>-5158240000</v>
      </c>
      <c r="G115" s="16">
        <v>12775930059000</v>
      </c>
      <c r="H115" s="4">
        <f t="shared" ref="H115:H117" si="135">F115/G114</f>
        <v>-4.3547073683962944E-4</v>
      </c>
      <c r="I115" s="4">
        <f t="shared" ref="I115:I117" si="136">1/G114</f>
        <v>8.4422348870860877E-14</v>
      </c>
      <c r="J115" s="16">
        <v>4011130559000</v>
      </c>
      <c r="K115" s="4">
        <f t="shared" ref="K115:K117" si="137">(J115-J114)/G114</f>
        <v>6.190891463970085E-2</v>
      </c>
      <c r="L115" s="16">
        <v>4531121927000</v>
      </c>
      <c r="M115" s="4">
        <f t="shared" ref="M115:M117" si="138">L115/G114</f>
        <v>0.38252795609760143</v>
      </c>
      <c r="N115" s="55">
        <v>-2647819222.08285</v>
      </c>
      <c r="O115" s="53">
        <v>9.5000000000000001E-2</v>
      </c>
      <c r="P115" s="53">
        <v>-3.5000000000000003E-2</v>
      </c>
      <c r="Q115" s="16">
        <f>467514975000+5874160000</f>
        <v>473389135000</v>
      </c>
      <c r="R115" s="4">
        <f t="shared" ref="R115:R117" si="139">SUM((N115*I115)+(O115*(((J115-J114)-(Q115-Q114))/G114))+(P115*M115))</f>
        <v>-1.0332815029055083E-2</v>
      </c>
      <c r="S115" s="4">
        <f t="shared" ref="S115:S117" si="140">SUM(H115-R115)</f>
        <v>9.8973442922154539E-3</v>
      </c>
      <c r="U115" s="2">
        <v>113</v>
      </c>
      <c r="V115" s="3" t="s">
        <v>66</v>
      </c>
      <c r="W115" s="5">
        <v>2019</v>
      </c>
      <c r="X115" s="4">
        <v>2.9885141651567176E-3</v>
      </c>
    </row>
    <row r="116" spans="1:24" x14ac:dyDescent="0.35">
      <c r="A116" s="6">
        <v>114</v>
      </c>
      <c r="B116" s="9"/>
      <c r="C116" s="6">
        <v>2021</v>
      </c>
      <c r="D116" s="16">
        <v>1526870874000</v>
      </c>
      <c r="E116" s="16">
        <v>1114556872000</v>
      </c>
      <c r="F116" s="16">
        <f t="shared" si="86"/>
        <v>412314002000</v>
      </c>
      <c r="G116" s="16">
        <v>13850610076000</v>
      </c>
      <c r="H116" s="4">
        <f t="shared" si="135"/>
        <v>3.227271909723281E-2</v>
      </c>
      <c r="I116" s="4">
        <f t="shared" si="136"/>
        <v>7.8272188042822779E-14</v>
      </c>
      <c r="J116" s="16">
        <v>5203100578000</v>
      </c>
      <c r="K116" s="4">
        <f t="shared" si="137"/>
        <v>9.3298101468575048E-2</v>
      </c>
      <c r="L116" s="16">
        <v>4400724564000</v>
      </c>
      <c r="M116" s="4">
        <f t="shared" si="138"/>
        <v>0.34445434059807734</v>
      </c>
      <c r="N116" s="55">
        <v>-2647819222.08285</v>
      </c>
      <c r="O116" s="53">
        <v>9.5000000000000001E-2</v>
      </c>
      <c r="P116" s="53">
        <v>-3.5000000000000003E-2</v>
      </c>
      <c r="Q116" s="16">
        <f>447962561000+5519935000</f>
        <v>453482496000</v>
      </c>
      <c r="R116" s="4">
        <f t="shared" si="139"/>
        <v>-3.2518099473170317E-3</v>
      </c>
      <c r="S116" s="4">
        <f t="shared" si="140"/>
        <v>3.5524529044549842E-2</v>
      </c>
      <c r="U116" s="2">
        <v>114</v>
      </c>
      <c r="V116" s="3"/>
      <c r="W116" s="2">
        <v>2020</v>
      </c>
      <c r="X116" s="4">
        <v>-0.13119794102993176</v>
      </c>
    </row>
    <row r="117" spans="1:24" x14ac:dyDescent="0.35">
      <c r="A117" s="6">
        <v>115</v>
      </c>
      <c r="B117" s="9"/>
      <c r="C117" s="6">
        <v>2022</v>
      </c>
      <c r="D117" s="16">
        <v>1848118978000</v>
      </c>
      <c r="E117" s="16">
        <v>1456211071000</v>
      </c>
      <c r="F117" s="16">
        <f t="shared" si="86"/>
        <v>391907907000</v>
      </c>
      <c r="G117" s="16">
        <v>13969704123000</v>
      </c>
      <c r="H117" s="4">
        <f t="shared" si="135"/>
        <v>2.8295353406785198E-2</v>
      </c>
      <c r="I117" s="4">
        <f t="shared" si="136"/>
        <v>7.2198985785671317E-14</v>
      </c>
      <c r="J117" s="16">
        <v>7261218471000</v>
      </c>
      <c r="K117" s="4">
        <f t="shared" si="137"/>
        <v>0.14859402450194281</v>
      </c>
      <c r="L117" s="16">
        <v>4424183345000</v>
      </c>
      <c r="M117" s="4">
        <f t="shared" si="138"/>
        <v>0.31942155043885878</v>
      </c>
      <c r="N117" s="55">
        <v>-2647819222.08285</v>
      </c>
      <c r="O117" s="53">
        <v>9.5000000000000001E-2</v>
      </c>
      <c r="P117" s="53">
        <v>-3.5000000000000003E-2</v>
      </c>
      <c r="Q117" s="16">
        <f>936919297000+8811034000</f>
        <v>945730331000</v>
      </c>
      <c r="R117" s="4">
        <f t="shared" si="139"/>
        <v>-6.307722720619649E-4</v>
      </c>
      <c r="S117" s="4">
        <f t="shared" si="140"/>
        <v>2.8926125678847163E-2</v>
      </c>
      <c r="U117" s="2">
        <v>115</v>
      </c>
      <c r="V117" s="3"/>
      <c r="W117" s="2">
        <v>2021</v>
      </c>
      <c r="X117" s="4">
        <v>-0.12189584952764498</v>
      </c>
    </row>
    <row r="118" spans="1:24" x14ac:dyDescent="0.35">
      <c r="A118" s="6">
        <v>116</v>
      </c>
      <c r="B118" s="7" t="s">
        <v>26</v>
      </c>
      <c r="C118" s="8">
        <v>2018</v>
      </c>
      <c r="D118" s="15"/>
      <c r="E118" s="15"/>
      <c r="F118" s="16"/>
      <c r="G118" s="16">
        <v>2631189810030</v>
      </c>
      <c r="H118" s="4"/>
      <c r="I118" s="4"/>
      <c r="J118" s="15">
        <v>2826957323397</v>
      </c>
      <c r="K118" s="4"/>
      <c r="L118" s="15">
        <v>1096143561950</v>
      </c>
      <c r="M118" s="4"/>
      <c r="N118" s="55">
        <v>-2647819222.08285</v>
      </c>
      <c r="O118" s="53">
        <v>9.5000000000000001E-2</v>
      </c>
      <c r="P118" s="53">
        <v>-3.5000000000000003E-2</v>
      </c>
      <c r="Q118" s="15">
        <f>158456254158+263919643957</f>
        <v>422375898115</v>
      </c>
      <c r="R118" s="4"/>
      <c r="S118" s="4"/>
      <c r="U118" s="2">
        <v>116</v>
      </c>
      <c r="V118" s="3"/>
      <c r="W118" s="2">
        <v>2022</v>
      </c>
      <c r="X118" s="4">
        <v>-0.13638104974104948</v>
      </c>
    </row>
    <row r="119" spans="1:24" x14ac:dyDescent="0.35">
      <c r="A119" s="6">
        <v>117</v>
      </c>
      <c r="B119" s="7"/>
      <c r="C119" s="8">
        <v>2019</v>
      </c>
      <c r="D119" s="16">
        <v>482590522840</v>
      </c>
      <c r="E119" s="16">
        <v>499922010752</v>
      </c>
      <c r="F119" s="16">
        <f t="shared" si="86"/>
        <v>-17331487912</v>
      </c>
      <c r="G119" s="16">
        <v>2881563083954</v>
      </c>
      <c r="H119" s="4">
        <f>F119/G118</f>
        <v>-6.586939431709943E-3</v>
      </c>
      <c r="I119" s="4">
        <f>1/G118</f>
        <v>3.8005619974204685E-13</v>
      </c>
      <c r="J119" s="16">
        <v>3512509168853</v>
      </c>
      <c r="K119" s="4">
        <f>(J119-J118)/G118</f>
        <v>0.26054822911015435</v>
      </c>
      <c r="L119" s="16">
        <v>1124520287704</v>
      </c>
      <c r="M119" s="4">
        <f>L119/G118</f>
        <v>0.42738090707761545</v>
      </c>
      <c r="N119" s="55">
        <v>-2647819222.08285</v>
      </c>
      <c r="O119" s="53">
        <v>9.5000000000000001E-2</v>
      </c>
      <c r="P119" s="53">
        <v>-3.5000000000000003E-2</v>
      </c>
      <c r="Q119" s="16">
        <f>183022151732+358789655769</f>
        <v>541811807501</v>
      </c>
      <c r="R119" s="4">
        <f>SUM((N119*I119)+(O119*(((J119-J118)-(Q119-Q118))/G118))+(P119*M119))</f>
        <v>4.4751559123714039E-3</v>
      </c>
      <c r="S119" s="4">
        <f>SUM(H119-R119)</f>
        <v>-1.1062095344081348E-2</v>
      </c>
      <c r="U119" s="2">
        <v>117</v>
      </c>
      <c r="V119" s="3" t="s">
        <v>67</v>
      </c>
      <c r="W119" s="5">
        <v>2019</v>
      </c>
      <c r="X119" s="4">
        <v>-0.19018442101886379</v>
      </c>
    </row>
    <row r="120" spans="1:24" x14ac:dyDescent="0.35">
      <c r="A120" s="6">
        <v>118</v>
      </c>
      <c r="B120" s="9"/>
      <c r="C120" s="6">
        <v>2020</v>
      </c>
      <c r="D120" s="16">
        <v>628628879549</v>
      </c>
      <c r="E120" s="16">
        <v>926245668352</v>
      </c>
      <c r="F120" s="16">
        <f t="shared" si="86"/>
        <v>-297616788803</v>
      </c>
      <c r="G120" s="16">
        <v>3448995059882</v>
      </c>
      <c r="H120" s="4">
        <f t="shared" ref="H120:H122" si="141">F120/G119</f>
        <v>-0.10328310716509409</v>
      </c>
      <c r="I120" s="4">
        <f t="shared" ref="I120:I122" si="142">1/G119</f>
        <v>3.4703387393061269E-13</v>
      </c>
      <c r="J120" s="16">
        <v>3846300254825</v>
      </c>
      <c r="K120" s="4">
        <f t="shared" ref="K120:K122" si="143">(J120-J119)/G119</f>
        <v>0.11583681364836936</v>
      </c>
      <c r="L120" s="16">
        <v>1538988540784</v>
      </c>
      <c r="M120" s="4">
        <f t="shared" ref="M120:M122" si="144">L120/G119</f>
        <v>0.5340811552430923</v>
      </c>
      <c r="N120" s="55">
        <v>-2647819222.08285</v>
      </c>
      <c r="O120" s="53">
        <v>9.5000000000000001E-2</v>
      </c>
      <c r="P120" s="53">
        <v>-3.5000000000000003E-2</v>
      </c>
      <c r="Q120" s="16">
        <f>141282908965+306311166144</f>
        <v>447594075109</v>
      </c>
      <c r="R120" s="4">
        <f t="shared" ref="R120:R122" si="145">SUM((N120*I120)+(O120*(((J120-J119)-(Q120-Q119))/G119))+(P120*M120))</f>
        <v>-5.5010353558499116E-3</v>
      </c>
      <c r="S120" s="4">
        <f t="shared" ref="S120:S122" si="146">SUM(H120-R120)</f>
        <v>-9.7782071809244184E-2</v>
      </c>
      <c r="U120" s="2">
        <v>118</v>
      </c>
      <c r="V120" s="3"/>
      <c r="W120" s="2">
        <v>2020</v>
      </c>
      <c r="X120" s="4">
        <v>-8.7292755448057563E-2</v>
      </c>
    </row>
    <row r="121" spans="1:24" x14ac:dyDescent="0.35">
      <c r="A121" s="6">
        <v>119</v>
      </c>
      <c r="B121" s="9"/>
      <c r="C121" s="6">
        <v>2021</v>
      </c>
      <c r="D121" s="16">
        <v>617573766863</v>
      </c>
      <c r="E121" s="16">
        <v>624883019222</v>
      </c>
      <c r="F121" s="16">
        <f t="shared" si="86"/>
        <v>-7309252359</v>
      </c>
      <c r="G121" s="16">
        <v>3919243683748</v>
      </c>
      <c r="H121" s="4">
        <f t="shared" si="141"/>
        <v>-2.1192411795597269E-3</v>
      </c>
      <c r="I121" s="4">
        <f t="shared" si="142"/>
        <v>2.899395280763936E-13</v>
      </c>
      <c r="J121" s="16">
        <v>4241856914012</v>
      </c>
      <c r="K121" s="4">
        <f t="shared" si="143"/>
        <v>0.11468751109215365</v>
      </c>
      <c r="L121" s="16">
        <v>1552703249576</v>
      </c>
      <c r="M121" s="4">
        <f t="shared" si="144"/>
        <v>0.45019004742474827</v>
      </c>
      <c r="N121" s="55">
        <v>-2647819222.08285</v>
      </c>
      <c r="O121" s="53">
        <v>9.5000000000000001E-2</v>
      </c>
      <c r="P121" s="53">
        <v>-3.5000000000000003E-2</v>
      </c>
      <c r="Q121" s="16">
        <f>180415788+295565013714</f>
        <v>295745429502</v>
      </c>
      <c r="R121" s="4">
        <f t="shared" si="145"/>
        <v>-1.4464877203922526E-3</v>
      </c>
      <c r="S121" s="4">
        <f t="shared" si="146"/>
        <v>-6.7275345916747433E-4</v>
      </c>
      <c r="U121" s="2">
        <v>119</v>
      </c>
      <c r="V121" s="3"/>
      <c r="W121" s="2">
        <v>2021</v>
      </c>
      <c r="X121" s="4">
        <v>-0.11344366725989248</v>
      </c>
    </row>
    <row r="122" spans="1:24" x14ac:dyDescent="0.35">
      <c r="A122" s="6">
        <v>120</v>
      </c>
      <c r="B122" s="9"/>
      <c r="C122" s="6">
        <v>2022</v>
      </c>
      <c r="D122" s="16">
        <v>624524005786</v>
      </c>
      <c r="E122" s="16">
        <v>677186311780</v>
      </c>
      <c r="F122" s="16">
        <f t="shared" si="86"/>
        <v>-52662305994</v>
      </c>
      <c r="G122" s="16">
        <v>4590737849889</v>
      </c>
      <c r="H122" s="4">
        <f t="shared" si="141"/>
        <v>-1.3436854210514073E-2</v>
      </c>
      <c r="I122" s="4">
        <f t="shared" si="142"/>
        <v>2.5515126914580956E-13</v>
      </c>
      <c r="J122" s="16">
        <v>4931553771470</v>
      </c>
      <c r="K122" s="4">
        <f t="shared" si="143"/>
        <v>0.17597702850628519</v>
      </c>
      <c r="L122" s="16">
        <v>1585273559920</v>
      </c>
      <c r="M122" s="4">
        <f t="shared" si="144"/>
        <v>0.40448456075688355</v>
      </c>
      <c r="N122" s="55">
        <v>-2647819222.08285</v>
      </c>
      <c r="O122" s="53">
        <v>9.5000000000000001E-2</v>
      </c>
      <c r="P122" s="53">
        <v>-3.5000000000000003E-2</v>
      </c>
      <c r="Q122" s="16">
        <f>187542243295+295396538109</f>
        <v>482938781404</v>
      </c>
      <c r="R122" s="4">
        <f t="shared" si="145"/>
        <v>-2.6521853781550191E-3</v>
      </c>
      <c r="S122" s="4">
        <f t="shared" si="146"/>
        <v>-1.0784668832359054E-2</v>
      </c>
      <c r="U122" s="2">
        <v>120</v>
      </c>
      <c r="V122" s="3"/>
      <c r="W122" s="2">
        <v>2022</v>
      </c>
      <c r="X122" s="4">
        <v>-9.9115795615321023E-2</v>
      </c>
    </row>
    <row r="123" spans="1:24" x14ac:dyDescent="0.35">
      <c r="A123" s="6">
        <v>121</v>
      </c>
      <c r="B123" s="7" t="s">
        <v>27</v>
      </c>
      <c r="C123" s="8">
        <v>2018</v>
      </c>
      <c r="D123" s="15"/>
      <c r="E123" s="15"/>
      <c r="F123" s="16"/>
      <c r="G123" s="16">
        <v>16339916000000</v>
      </c>
      <c r="H123" s="4"/>
      <c r="I123" s="4"/>
      <c r="J123" s="15">
        <v>8614889000000</v>
      </c>
      <c r="K123" s="4"/>
      <c r="L123" s="15">
        <v>6428456000000</v>
      </c>
      <c r="M123" s="4"/>
      <c r="N123" s="55">
        <v>-2647819222.08285</v>
      </c>
      <c r="O123" s="53">
        <v>9.5000000000000001E-2</v>
      </c>
      <c r="P123" s="53">
        <v>-3.5000000000000003E-2</v>
      </c>
      <c r="Q123" s="15">
        <f>950789000000+1072224000000</f>
        <v>2023013000000</v>
      </c>
      <c r="R123" s="4"/>
      <c r="S123" s="4"/>
      <c r="U123" s="2">
        <v>121</v>
      </c>
      <c r="V123" s="3" t="s">
        <v>68</v>
      </c>
      <c r="W123" s="5">
        <v>2019</v>
      </c>
      <c r="X123" s="4">
        <v>-0.22531506430124174</v>
      </c>
    </row>
    <row r="124" spans="1:24" x14ac:dyDescent="0.35">
      <c r="A124" s="6">
        <v>122</v>
      </c>
      <c r="B124" s="7"/>
      <c r="C124" s="8">
        <v>2019</v>
      </c>
      <c r="D124" s="16">
        <v>661034000000</v>
      </c>
      <c r="E124" s="16">
        <v>1125423000000</v>
      </c>
      <c r="F124" s="16">
        <f t="shared" si="86"/>
        <v>-464389000000</v>
      </c>
      <c r="G124" s="16">
        <v>17363003000000</v>
      </c>
      <c r="H124" s="4">
        <f>F124/G123</f>
        <v>-2.8420525540033374E-2</v>
      </c>
      <c r="I124" s="4">
        <f>1/G123</f>
        <v>6.1199825017460313E-14</v>
      </c>
      <c r="J124" s="16">
        <v>8533183000000</v>
      </c>
      <c r="K124" s="4">
        <f>(J124-J123)/G123</f>
        <v>-5.0003929028766122E-3</v>
      </c>
      <c r="L124" s="16">
        <v>6491794000000</v>
      </c>
      <c r="M124" s="4">
        <f>L124/G123</f>
        <v>0.39729665684939874</v>
      </c>
      <c r="N124" s="55">
        <v>-2647819222.08285</v>
      </c>
      <c r="O124" s="53">
        <v>9.5000000000000001E-2</v>
      </c>
      <c r="P124" s="53">
        <v>-3.5000000000000003E-2</v>
      </c>
      <c r="Q124" s="16">
        <f>946433000000+903195000000</f>
        <v>1849628000000</v>
      </c>
      <c r="R124" s="4">
        <f>SUM((N124*I124)+(O124*(((J124-J123)-(Q124-Q123))/G123))+(P124*M124))</f>
        <v>-1.35344088808096E-2</v>
      </c>
      <c r="S124" s="4">
        <f>SUM(H124-R124)</f>
        <v>-1.4886116659223774E-2</v>
      </c>
      <c r="U124" s="2">
        <v>122</v>
      </c>
      <c r="V124" s="3"/>
      <c r="W124" s="2">
        <v>2020</v>
      </c>
      <c r="X124" s="4">
        <v>-0.23055752501022508</v>
      </c>
    </row>
    <row r="125" spans="1:24" x14ac:dyDescent="0.35">
      <c r="A125" s="6">
        <v>123</v>
      </c>
      <c r="B125" s="9"/>
      <c r="C125" s="6">
        <v>2020</v>
      </c>
      <c r="D125" s="16">
        <v>680730000000</v>
      </c>
      <c r="E125" s="16">
        <v>38235000000</v>
      </c>
      <c r="F125" s="16">
        <f t="shared" si="86"/>
        <v>642495000000</v>
      </c>
      <c r="G125" s="16">
        <v>19431293000000</v>
      </c>
      <c r="H125" s="4">
        <f t="shared" ref="H125:H127" si="147">F125/G124</f>
        <v>3.7003679605423091E-2</v>
      </c>
      <c r="I125" s="4">
        <f t="shared" ref="I125:I127" si="148">1/G124</f>
        <v>5.7593723850649568E-14</v>
      </c>
      <c r="J125" s="16">
        <v>10863256000000</v>
      </c>
      <c r="K125" s="4">
        <f t="shared" ref="K125:K127" si="149">(J125-J124)/G124</f>
        <v>0.13419758091385459</v>
      </c>
      <c r="L125" s="16">
        <v>6515193000000</v>
      </c>
      <c r="M125" s="4">
        <f t="shared" ref="M125:M127" si="150">L125/G124</f>
        <v>0.37523422647568511</v>
      </c>
      <c r="N125" s="55">
        <v>-2647819222.08285</v>
      </c>
      <c r="O125" s="53">
        <v>9.5000000000000001E-2</v>
      </c>
      <c r="P125" s="53">
        <v>-3.5000000000000003E-2</v>
      </c>
      <c r="Q125" s="16">
        <f>1624444000000+1388413000000</f>
        <v>3012857000000</v>
      </c>
      <c r="R125" s="4">
        <f t="shared" ref="R125:R127" si="151">SUM((N125*I125)+(O125*(((J125-J124)-(Q125-Q124))/G124))+(P125*M125))</f>
        <v>-6.9014210400172643E-3</v>
      </c>
      <c r="S125" s="4">
        <f t="shared" ref="S125:S127" si="152">SUM(H125-R125)</f>
        <v>4.3905100645440356E-2</v>
      </c>
      <c r="U125" s="2">
        <v>123</v>
      </c>
      <c r="V125" s="3"/>
      <c r="W125" s="2">
        <v>2021</v>
      </c>
      <c r="X125" s="4">
        <v>-0.16613931385660657</v>
      </c>
    </row>
    <row r="126" spans="1:24" x14ac:dyDescent="0.35">
      <c r="A126" s="6">
        <v>124</v>
      </c>
      <c r="B126" s="9"/>
      <c r="C126" s="6">
        <v>2021</v>
      </c>
      <c r="D126" s="16">
        <v>791916000000</v>
      </c>
      <c r="E126" s="16">
        <v>1531950000000</v>
      </c>
      <c r="F126" s="16">
        <f t="shared" si="86"/>
        <v>-740034000000</v>
      </c>
      <c r="G126" s="16">
        <v>21084017000000</v>
      </c>
      <c r="H126" s="4">
        <f t="shared" si="147"/>
        <v>-3.8084650362690736E-2</v>
      </c>
      <c r="I126" s="4">
        <f t="shared" si="148"/>
        <v>5.1463379199726953E-14</v>
      </c>
      <c r="J126" s="16">
        <v>15972216000000</v>
      </c>
      <c r="K126" s="4">
        <f t="shared" si="149"/>
        <v>0.26292434579623702</v>
      </c>
      <c r="L126" s="16">
        <v>6647127000000</v>
      </c>
      <c r="M126" s="4">
        <f t="shared" si="150"/>
        <v>0.34208361738974347</v>
      </c>
      <c r="N126" s="55">
        <v>-2647819222.08285</v>
      </c>
      <c r="O126" s="53">
        <v>9.5000000000000001E-2</v>
      </c>
      <c r="P126" s="53">
        <v>-3.5000000000000003E-2</v>
      </c>
      <c r="Q126" s="16">
        <f>1990671000000+1466256000000</f>
        <v>3456927000000</v>
      </c>
      <c r="R126" s="4">
        <f t="shared" si="151"/>
        <v>1.0697552951206958E-2</v>
      </c>
      <c r="S126" s="4">
        <f t="shared" si="152"/>
        <v>-4.8782203313897696E-2</v>
      </c>
      <c r="U126" s="2">
        <v>124</v>
      </c>
      <c r="V126" s="3"/>
      <c r="W126" s="2">
        <v>2022</v>
      </c>
      <c r="X126" s="4">
        <v>-0.18873157518250053</v>
      </c>
    </row>
    <row r="127" spans="1:24" x14ac:dyDescent="0.35">
      <c r="A127" s="6">
        <v>125</v>
      </c>
      <c r="B127" s="9"/>
      <c r="C127" s="6">
        <v>2022</v>
      </c>
      <c r="D127" s="16">
        <v>801440000000</v>
      </c>
      <c r="E127" s="16">
        <v>1023209000000</v>
      </c>
      <c r="F127" s="16">
        <f t="shared" si="86"/>
        <v>-221769000000</v>
      </c>
      <c r="G127" s="16">
        <v>23673644000000</v>
      </c>
      <c r="H127" s="4">
        <f t="shared" si="147"/>
        <v>-1.0518346669896917E-2</v>
      </c>
      <c r="I127" s="4">
        <f t="shared" si="148"/>
        <v>4.7429292055683698E-14</v>
      </c>
      <c r="J127" s="16">
        <v>16579960000000</v>
      </c>
      <c r="K127" s="4">
        <f t="shared" si="149"/>
        <v>2.8824867671089431E-2</v>
      </c>
      <c r="L127" s="16">
        <v>6910144000000</v>
      </c>
      <c r="M127" s="4">
        <f t="shared" si="150"/>
        <v>0.32774323792283033</v>
      </c>
      <c r="N127" s="55">
        <v>-2647819222.08285</v>
      </c>
      <c r="O127" s="53">
        <v>9.5000000000000001E-2</v>
      </c>
      <c r="P127" s="53">
        <v>-3.5000000000000003E-2</v>
      </c>
      <c r="Q127" s="16">
        <f>2131578000000+1435375000000</f>
        <v>3566953000000</v>
      </c>
      <c r="R127" s="4">
        <f t="shared" si="151"/>
        <v>-9.3539883420736599E-3</v>
      </c>
      <c r="S127" s="4">
        <f t="shared" si="152"/>
        <v>-1.1643583278232571E-3</v>
      </c>
      <c r="U127" s="2">
        <v>125</v>
      </c>
      <c r="V127" s="4" t="s">
        <v>69</v>
      </c>
      <c r="W127" s="5">
        <v>2019</v>
      </c>
      <c r="X127" s="4">
        <v>-9.0021004028671206E-3</v>
      </c>
    </row>
    <row r="128" spans="1:24" x14ac:dyDescent="0.35">
      <c r="A128" s="6">
        <v>126</v>
      </c>
      <c r="B128" s="7" t="s">
        <v>28</v>
      </c>
      <c r="C128" s="8">
        <v>2018</v>
      </c>
      <c r="D128" s="15"/>
      <c r="E128" s="15"/>
      <c r="F128" s="16"/>
      <c r="G128" s="16">
        <v>3485510411961</v>
      </c>
      <c r="H128" s="4"/>
      <c r="I128" s="4"/>
      <c r="J128" s="15">
        <v>12940108219350</v>
      </c>
      <c r="K128" s="4"/>
      <c r="L128" s="15">
        <v>94064002067</v>
      </c>
      <c r="M128" s="4"/>
      <c r="N128" s="55">
        <v>-2647819222.08285</v>
      </c>
      <c r="O128" s="53">
        <v>9.5000000000000001E-2</v>
      </c>
      <c r="P128" s="53">
        <v>-3.5000000000000003E-2</v>
      </c>
      <c r="Q128" s="15">
        <v>1247446141664</v>
      </c>
      <c r="R128" s="4"/>
      <c r="S128" s="4"/>
      <c r="U128" s="2">
        <v>126</v>
      </c>
      <c r="V128" s="4"/>
      <c r="W128" s="2">
        <v>2020</v>
      </c>
      <c r="X128" s="4">
        <v>4.5936811338622652E-2</v>
      </c>
    </row>
    <row r="129" spans="1:24" x14ac:dyDescent="0.35">
      <c r="A129" s="6">
        <v>127</v>
      </c>
      <c r="B129" s="7"/>
      <c r="C129" s="8">
        <v>2019</v>
      </c>
      <c r="D129" s="16">
        <v>428418484105</v>
      </c>
      <c r="E129" s="16">
        <v>1071859164912</v>
      </c>
      <c r="F129" s="16">
        <f t="shared" si="86"/>
        <v>-643440680807</v>
      </c>
      <c r="G129" s="16">
        <v>2995872438975</v>
      </c>
      <c r="H129" s="4">
        <f>F129/G128</f>
        <v>-0.18460443514928154</v>
      </c>
      <c r="I129" s="4">
        <f>1/G128</f>
        <v>2.8690202633403844E-13</v>
      </c>
      <c r="J129" s="16">
        <v>13372043554341</v>
      </c>
      <c r="K129" s="4">
        <f>(J129-J128)/G128</f>
        <v>0.1239231228541896</v>
      </c>
      <c r="L129" s="16">
        <v>86888676915</v>
      </c>
      <c r="M129" s="4">
        <f>L129/G128</f>
        <v>2.4928537472397087E-2</v>
      </c>
      <c r="N129" s="55">
        <v>-2647819222.08285</v>
      </c>
      <c r="O129" s="53">
        <v>9.5000000000000001E-2</v>
      </c>
      <c r="P129" s="53">
        <v>-3.5000000000000003E-2</v>
      </c>
      <c r="Q129" s="16">
        <v>1122350372485</v>
      </c>
      <c r="R129" s="4">
        <f>SUM((N129*I129)+(O129*(((J129-J128)-(Q129-Q128))/G128))+(P129*M129))</f>
        <v>1.3550104977443E-2</v>
      </c>
      <c r="S129" s="4">
        <f>SUM(H129-R129)</f>
        <v>-0.19815454012672454</v>
      </c>
      <c r="U129" s="2">
        <v>127</v>
      </c>
      <c r="V129" s="4"/>
      <c r="W129" s="2">
        <v>2021</v>
      </c>
      <c r="X129" s="4">
        <v>-5.9617827498030084E-3</v>
      </c>
    </row>
    <row r="130" spans="1:24" x14ac:dyDescent="0.35">
      <c r="A130" s="6">
        <v>128</v>
      </c>
      <c r="B130" s="9"/>
      <c r="C130" s="6">
        <v>2020</v>
      </c>
      <c r="D130" s="16">
        <v>478561152411</v>
      </c>
      <c r="E130" s="16">
        <v>801751675565</v>
      </c>
      <c r="F130" s="16">
        <f t="shared" si="86"/>
        <v>-323190523154</v>
      </c>
      <c r="G130" s="16">
        <v>3361956197960</v>
      </c>
      <c r="H130" s="4">
        <f t="shared" ref="H130:H132" si="153">F130/G129</f>
        <v>-0.10787859955231457</v>
      </c>
      <c r="I130" s="4">
        <f t="shared" ref="I130:I132" si="154">1/G129</f>
        <v>3.3379258308545921E-13</v>
      </c>
      <c r="J130" s="16">
        <v>12488883541697</v>
      </c>
      <c r="K130" s="4">
        <f t="shared" ref="K130:K132" si="155">(J130-J129)/G129</f>
        <v>-0.29479226189822755</v>
      </c>
      <c r="L130" s="16">
        <v>75635303975</v>
      </c>
      <c r="M130" s="4">
        <f t="shared" ref="M130:M132" si="156">L130/G129</f>
        <v>2.524650348626915E-2</v>
      </c>
      <c r="N130" s="55">
        <v>-2647819222.08285</v>
      </c>
      <c r="O130" s="53">
        <v>9.5000000000000001E-2</v>
      </c>
      <c r="P130" s="53">
        <v>-3.5000000000000003E-2</v>
      </c>
      <c r="Q130" s="16">
        <v>1045004168600</v>
      </c>
      <c r="R130" s="4">
        <f t="shared" ref="R130:R132" si="157">SUM((N130*I130)+(O130*(((J130-J129)-(Q130-Q129))/G129))+(P130*M130))</f>
        <v>-2.7320043947303679E-2</v>
      </c>
      <c r="S130" s="4">
        <f t="shared" ref="S130:S132" si="158">SUM(H130-R130)</f>
        <v>-8.0558555605010893E-2</v>
      </c>
      <c r="U130" s="2">
        <v>128</v>
      </c>
      <c r="V130" s="4"/>
      <c r="W130" s="2">
        <v>2022</v>
      </c>
      <c r="X130" s="4">
        <v>2.7750172723815893E-2</v>
      </c>
    </row>
    <row r="131" spans="1:24" x14ac:dyDescent="0.35">
      <c r="A131" s="6">
        <v>129</v>
      </c>
      <c r="B131" s="9"/>
      <c r="C131" s="6">
        <v>2021</v>
      </c>
      <c r="D131" s="16">
        <v>481109483989</v>
      </c>
      <c r="E131" s="16">
        <v>71133769549</v>
      </c>
      <c r="F131" s="16">
        <f t="shared" si="86"/>
        <v>409975714440</v>
      </c>
      <c r="G131" s="16">
        <v>3403961007490</v>
      </c>
      <c r="H131" s="4">
        <f t="shared" si="153"/>
        <v>0.12194558474282592</v>
      </c>
      <c r="I131" s="4">
        <f t="shared" si="154"/>
        <v>2.9744587410353221E-13</v>
      </c>
      <c r="J131" s="16">
        <v>11926149980019</v>
      </c>
      <c r="K131" s="4">
        <f t="shared" si="155"/>
        <v>-0.16738277614070668</v>
      </c>
      <c r="L131" s="16">
        <v>78301596511</v>
      </c>
      <c r="M131" s="4">
        <f t="shared" si="156"/>
        <v>2.3290486817916484E-2</v>
      </c>
      <c r="N131" s="55">
        <v>-2647819222.08285</v>
      </c>
      <c r="O131" s="53">
        <v>9.5000000000000001E-2</v>
      </c>
      <c r="P131" s="53">
        <v>-3.5000000000000003E-2</v>
      </c>
      <c r="Q131" s="16">
        <v>1176001750071</v>
      </c>
      <c r="R131" s="4">
        <f t="shared" si="157"/>
        <v>-2.1205759236953354E-2</v>
      </c>
      <c r="S131" s="4">
        <f t="shared" si="158"/>
        <v>0.14315134397977927</v>
      </c>
      <c r="U131" s="2">
        <v>129</v>
      </c>
      <c r="V131" s="4" t="s">
        <v>70</v>
      </c>
      <c r="W131" s="5">
        <v>2019</v>
      </c>
      <c r="X131" s="4">
        <v>-7.4564508358422182E-3</v>
      </c>
    </row>
    <row r="132" spans="1:24" x14ac:dyDescent="0.35">
      <c r="A132" s="6">
        <v>130</v>
      </c>
      <c r="B132" s="9"/>
      <c r="C132" s="6">
        <v>2022</v>
      </c>
      <c r="D132" s="16">
        <v>478266312889</v>
      </c>
      <c r="E132" s="16">
        <v>654165050864</v>
      </c>
      <c r="F132" s="16">
        <f t="shared" si="86"/>
        <v>-175898737975</v>
      </c>
      <c r="G132" s="16">
        <v>4181760862637</v>
      </c>
      <c r="H132" s="4">
        <f t="shared" si="153"/>
        <v>-5.1674721769126124E-2</v>
      </c>
      <c r="I132" s="4">
        <f t="shared" si="154"/>
        <v>2.9377539807289869E-13</v>
      </c>
      <c r="J132" s="16">
        <v>12977529294003</v>
      </c>
      <c r="K132" s="4">
        <f t="shared" si="155"/>
        <v>0.30886937649126073</v>
      </c>
      <c r="L132" s="16">
        <v>168527762114</v>
      </c>
      <c r="M132" s="4">
        <f t="shared" si="156"/>
        <v>4.9509310401375121E-2</v>
      </c>
      <c r="N132" s="55">
        <v>-2647819222.08285</v>
      </c>
      <c r="O132" s="53">
        <v>9.5000000000000001E-2</v>
      </c>
      <c r="P132" s="53">
        <v>-3.5000000000000003E-2</v>
      </c>
      <c r="Q132" s="16">
        <v>1338609720955</v>
      </c>
      <c r="R132" s="4">
        <f t="shared" si="157"/>
        <v>2.2293729725883206E-2</v>
      </c>
      <c r="S132" s="4">
        <f t="shared" si="158"/>
        <v>-7.396845149500933E-2</v>
      </c>
      <c r="U132" s="2">
        <v>130</v>
      </c>
      <c r="V132" s="4"/>
      <c r="W132" s="2">
        <v>2020</v>
      </c>
      <c r="X132" s="4">
        <v>-4.2435002691105811E-2</v>
      </c>
    </row>
    <row r="133" spans="1:24" x14ac:dyDescent="0.35">
      <c r="A133" s="6">
        <v>131</v>
      </c>
      <c r="B133" s="7" t="s">
        <v>29</v>
      </c>
      <c r="C133" s="8">
        <v>2018</v>
      </c>
      <c r="D133" s="15"/>
      <c r="E133" s="15"/>
      <c r="F133" s="16"/>
      <c r="G133" s="16">
        <v>5555871000000</v>
      </c>
      <c r="H133" s="4"/>
      <c r="I133" s="4"/>
      <c r="J133" s="15">
        <v>5472882000000</v>
      </c>
      <c r="K133" s="4"/>
      <c r="L133" s="15">
        <v>1453135000000</v>
      </c>
      <c r="M133" s="4"/>
      <c r="N133" s="55">
        <v>-2647819222.08285</v>
      </c>
      <c r="O133" s="53">
        <v>9.5000000000000001E-2</v>
      </c>
      <c r="P133" s="53">
        <v>-3.5000000000000003E-2</v>
      </c>
      <c r="Q133" s="15">
        <v>530498000000</v>
      </c>
      <c r="R133" s="4"/>
      <c r="S133" s="4"/>
      <c r="U133" s="2">
        <v>131</v>
      </c>
      <c r="V133" s="4"/>
      <c r="W133" s="2">
        <v>2021</v>
      </c>
      <c r="X133" s="4">
        <v>-8.5842292063345704E-2</v>
      </c>
    </row>
    <row r="134" spans="1:24" x14ac:dyDescent="0.35">
      <c r="A134" s="6">
        <v>132</v>
      </c>
      <c r="B134" s="7"/>
      <c r="C134" s="8">
        <v>2019</v>
      </c>
      <c r="D134" s="16">
        <v>1035865000000</v>
      </c>
      <c r="E134" s="16">
        <v>1096817000000</v>
      </c>
      <c r="F134" s="16">
        <f t="shared" si="86"/>
        <v>-60952000000</v>
      </c>
      <c r="G134" s="16">
        <v>6608422000000</v>
      </c>
      <c r="H134" s="4">
        <f>F134/G133</f>
        <v>-1.0970737081548511E-2</v>
      </c>
      <c r="I134" s="4">
        <f>1/G133</f>
        <v>1.7998978018028136E-13</v>
      </c>
      <c r="J134" s="16">
        <v>6223057000000</v>
      </c>
      <c r="K134" s="4">
        <f>(J134-J133)/G133</f>
        <v>0.13502383334674256</v>
      </c>
      <c r="L134" s="16">
        <v>1556666000000</v>
      </c>
      <c r="M134" s="4">
        <f>L134/G133</f>
        <v>0.28018397115411786</v>
      </c>
      <c r="N134" s="55">
        <v>-2647819222.08285</v>
      </c>
      <c r="O134" s="53">
        <v>9.5000000000000001E-2</v>
      </c>
      <c r="P134" s="53">
        <v>-3.5000000000000003E-2</v>
      </c>
      <c r="Q134" s="16">
        <v>613245000000</v>
      </c>
      <c r="R134" s="4">
        <f>SUM((N134*I134)+(O134*(((J134-J133)-(Q134-Q133))/G133))+(P134*M134))</f>
        <v>1.1293514154517171E-3</v>
      </c>
      <c r="S134" s="4">
        <f>SUM(H134-R134)</f>
        <v>-1.2100088497000228E-2</v>
      </c>
      <c r="U134" s="2">
        <v>132</v>
      </c>
      <c r="V134" s="4"/>
      <c r="W134" s="2">
        <v>2022</v>
      </c>
      <c r="X134" s="4">
        <v>2.6035626032330783E-4</v>
      </c>
    </row>
    <row r="135" spans="1:24" x14ac:dyDescent="0.35">
      <c r="A135" s="6">
        <v>133</v>
      </c>
      <c r="B135" s="9"/>
      <c r="C135" s="6">
        <v>2020</v>
      </c>
      <c r="D135" s="16">
        <v>1109666000000</v>
      </c>
      <c r="E135" s="16">
        <v>1217063000000</v>
      </c>
      <c r="F135" s="16">
        <f t="shared" si="86"/>
        <v>-107397000000</v>
      </c>
      <c r="G135" s="16">
        <v>8754116000000</v>
      </c>
      <c r="H135" s="4">
        <f t="shared" ref="H135:H197" si="159">F135/G134</f>
        <v>-1.6251534783946909E-2</v>
      </c>
      <c r="I135" s="4">
        <f t="shared" ref="I135:I197" si="160">1/G134</f>
        <v>1.5132205540142564E-13</v>
      </c>
      <c r="J135" s="16">
        <v>5967362000000</v>
      </c>
      <c r="K135" s="4">
        <f t="shared" ref="K135:K197" si="161">(J135-J134)/G134</f>
        <v>-3.8692292955867527E-2</v>
      </c>
      <c r="L135" s="16">
        <v>1715401000000</v>
      </c>
      <c r="M135" s="4">
        <f t="shared" ref="M135:M197" si="162">L135/G134</f>
        <v>0.25957800515766094</v>
      </c>
      <c r="N135" s="55">
        <v>-2647819222.08285</v>
      </c>
      <c r="O135" s="53">
        <v>9.5000000000000001E-2</v>
      </c>
      <c r="P135" s="53">
        <v>-3.5000000000000003E-2</v>
      </c>
      <c r="Q135" s="16">
        <v>563444000000</v>
      </c>
      <c r="R135" s="4">
        <f t="shared" ref="R135:R197" si="163">SUM((N135*I135)+(O135*(((J135-J134)-(Q135-Q134))/G134))+(P135*M135))</f>
        <v>-1.2445752438643121E-2</v>
      </c>
      <c r="S135" s="4">
        <f t="shared" ref="S135:S197" si="164">SUM(H135-R135)</f>
        <v>-3.8057823453037879E-3</v>
      </c>
      <c r="U135" s="2">
        <v>133</v>
      </c>
      <c r="V135" s="4" t="s">
        <v>71</v>
      </c>
      <c r="W135" s="5">
        <v>2019</v>
      </c>
      <c r="X135" s="4">
        <v>-8.2141583264225437E-2</v>
      </c>
    </row>
    <row r="136" spans="1:24" x14ac:dyDescent="0.35">
      <c r="A136" s="6">
        <v>134</v>
      </c>
      <c r="B136" s="9"/>
      <c r="C136" s="6">
        <v>2021</v>
      </c>
      <c r="D136" s="16">
        <v>1276793000000</v>
      </c>
      <c r="E136" s="16">
        <v>1414447000000</v>
      </c>
      <c r="F136" s="16">
        <f t="shared" si="86"/>
        <v>-137654000000</v>
      </c>
      <c r="G136" s="16">
        <v>7406856000000</v>
      </c>
      <c r="H136" s="4">
        <f t="shared" si="159"/>
        <v>-1.5724488914700241E-2</v>
      </c>
      <c r="I136" s="4">
        <f t="shared" si="160"/>
        <v>1.1423197956252807E-13</v>
      </c>
      <c r="J136" s="16">
        <v>6616642000000</v>
      </c>
      <c r="K136" s="4">
        <f t="shared" si="161"/>
        <v>7.4168539690358221E-2</v>
      </c>
      <c r="L136" s="16">
        <v>2165353000000</v>
      </c>
      <c r="M136" s="4">
        <f t="shared" si="162"/>
        <v>0.24735255964165884</v>
      </c>
      <c r="N136" s="55">
        <v>-2647819222.08285</v>
      </c>
      <c r="O136" s="53">
        <v>9.5000000000000001E-2</v>
      </c>
      <c r="P136" s="53">
        <v>-3.5000000000000003E-2</v>
      </c>
      <c r="Q136" s="16">
        <v>629006000000</v>
      </c>
      <c r="R136" s="4">
        <f t="shared" si="163"/>
        <v>-2.6252752673237194E-3</v>
      </c>
      <c r="S136" s="4">
        <f t="shared" si="164"/>
        <v>-1.3099213647376522E-2</v>
      </c>
      <c r="U136" s="2">
        <v>134</v>
      </c>
      <c r="V136" s="4"/>
      <c r="W136" s="2">
        <v>2020</v>
      </c>
      <c r="X136" s="4">
        <v>-4.3037239477544953E-2</v>
      </c>
    </row>
    <row r="137" spans="1:24" x14ac:dyDescent="0.35">
      <c r="A137" s="6">
        <v>135</v>
      </c>
      <c r="B137" s="9"/>
      <c r="C137" s="6">
        <v>2022</v>
      </c>
      <c r="D137" s="16">
        <v>965486000000</v>
      </c>
      <c r="E137" s="16">
        <v>259846000000</v>
      </c>
      <c r="F137" s="16">
        <f>D137-E137</f>
        <v>705640000000</v>
      </c>
      <c r="G137" s="16">
        <v>7376375000000</v>
      </c>
      <c r="H137" s="4">
        <f t="shared" si="159"/>
        <v>9.5268491786528589E-2</v>
      </c>
      <c r="I137" s="4">
        <f t="shared" si="160"/>
        <v>1.3501005014813303E-13</v>
      </c>
      <c r="J137" s="16">
        <v>7656252000000</v>
      </c>
      <c r="K137" s="4">
        <f t="shared" si="161"/>
        <v>0.14035779823450056</v>
      </c>
      <c r="L137" s="16">
        <v>2260183000000</v>
      </c>
      <c r="M137" s="4">
        <f t="shared" si="162"/>
        <v>0.30514742017395774</v>
      </c>
      <c r="N137" s="55">
        <v>-2647819222.08285</v>
      </c>
      <c r="O137" s="53">
        <v>9.5000000000000001E-2</v>
      </c>
      <c r="P137" s="53">
        <v>-3.5000000000000003E-2</v>
      </c>
      <c r="Q137" s="16">
        <v>617192000000</v>
      </c>
      <c r="R137" s="4">
        <f t="shared" si="163"/>
        <v>2.44787474981519E-3</v>
      </c>
      <c r="S137" s="4">
        <f t="shared" si="164"/>
        <v>9.2820617036713404E-2</v>
      </c>
      <c r="U137" s="2">
        <v>135</v>
      </c>
      <c r="V137" s="4"/>
      <c r="W137" s="2">
        <v>2021</v>
      </c>
      <c r="X137" s="4">
        <v>-4.7545104126159442E-2</v>
      </c>
    </row>
    <row r="138" spans="1:24" s="61" customFormat="1" x14ac:dyDescent="0.35">
      <c r="A138" s="31">
        <v>136</v>
      </c>
      <c r="B138" s="32" t="s">
        <v>65</v>
      </c>
      <c r="C138" s="31">
        <v>2018</v>
      </c>
      <c r="D138" s="33"/>
      <c r="E138" s="33"/>
      <c r="F138" s="34"/>
      <c r="G138" s="33">
        <v>69097219000000</v>
      </c>
      <c r="H138" s="35"/>
      <c r="I138" s="35"/>
      <c r="J138" s="33">
        <v>95707663000000</v>
      </c>
      <c r="K138" s="35"/>
      <c r="L138" s="33">
        <v>22758558000000</v>
      </c>
      <c r="M138" s="35"/>
      <c r="N138" s="62">
        <v>-2647819222.08285</v>
      </c>
      <c r="O138" s="63">
        <v>9.5000000000000001E-2</v>
      </c>
      <c r="P138" s="63">
        <v>-3.5000000000000003E-2</v>
      </c>
      <c r="Q138" s="33">
        <v>1725933000000</v>
      </c>
      <c r="R138" s="35"/>
      <c r="S138" s="35"/>
      <c r="U138" s="2">
        <v>136</v>
      </c>
      <c r="V138" s="4"/>
      <c r="W138" s="2">
        <v>2022</v>
      </c>
      <c r="X138" s="4">
        <v>5.0912837566254227E-2</v>
      </c>
    </row>
    <row r="139" spans="1:24" x14ac:dyDescent="0.35">
      <c r="A139" s="8">
        <v>137</v>
      </c>
      <c r="B139" s="9"/>
      <c r="C139" s="8">
        <v>2019</v>
      </c>
      <c r="D139" s="16">
        <v>3607032000000</v>
      </c>
      <c r="E139" s="16">
        <v>10880704000000</v>
      </c>
      <c r="F139" s="16">
        <f>D139-E139</f>
        <v>-7273672000000</v>
      </c>
      <c r="G139" s="16">
        <v>78647274000000</v>
      </c>
      <c r="H139" s="4">
        <f t="shared" si="159"/>
        <v>-0.10526721777326523</v>
      </c>
      <c r="I139" s="4">
        <f t="shared" si="160"/>
        <v>1.4472362483937307E-14</v>
      </c>
      <c r="J139" s="16">
        <v>110523819000000</v>
      </c>
      <c r="K139" s="4">
        <f t="shared" si="161"/>
        <v>0.21442478025056261</v>
      </c>
      <c r="L139" s="16">
        <v>25373983000000</v>
      </c>
      <c r="M139" s="4">
        <f t="shared" si="162"/>
        <v>0.36722147963726298</v>
      </c>
      <c r="N139" s="55">
        <v>-2647819222.08285</v>
      </c>
      <c r="O139" s="53">
        <v>9.5000000000000001E-2</v>
      </c>
      <c r="P139" s="53">
        <v>-3.5000000000000003E-2</v>
      </c>
      <c r="Q139" s="16">
        <v>1875909000000</v>
      </c>
      <c r="R139" s="4">
        <f>SUM((N139*I139)+(O139*(((J139-J138)-(Q139-Q138))/G138))+(P139*M139))</f>
        <v>7.2730839685156787E-3</v>
      </c>
      <c r="S139" s="4">
        <f t="shared" si="164"/>
        <v>-0.11254030174178091</v>
      </c>
      <c r="U139" s="2">
        <v>137</v>
      </c>
      <c r="V139" s="4" t="s">
        <v>72</v>
      </c>
      <c r="W139" s="5">
        <v>2019</v>
      </c>
      <c r="X139" s="4">
        <v>-8.3706231089374056E-2</v>
      </c>
    </row>
    <row r="140" spans="1:24" x14ac:dyDescent="0.35">
      <c r="A140" s="8">
        <v>138</v>
      </c>
      <c r="B140" s="9"/>
      <c r="C140" s="6">
        <v>2020</v>
      </c>
      <c r="D140" s="16">
        <v>2015404000000</v>
      </c>
      <c r="E140" s="16">
        <v>7647729000000</v>
      </c>
      <c r="F140" s="16">
        <f>D140-E140</f>
        <v>-5632325000000</v>
      </c>
      <c r="G140" s="16">
        <v>78191409000000</v>
      </c>
      <c r="H140" s="4">
        <f>F140/G139</f>
        <v>-7.1615006007709814E-2</v>
      </c>
      <c r="I140" s="4">
        <f>1/G139</f>
        <v>1.2714998869509451E-14</v>
      </c>
      <c r="J140" s="16">
        <v>114477311000000</v>
      </c>
      <c r="K140" s="4">
        <f t="shared" si="161"/>
        <v>5.0268646310614659E-2</v>
      </c>
      <c r="L140" s="16">
        <v>27605038000000</v>
      </c>
      <c r="M140" s="4">
        <f t="shared" si="162"/>
        <v>0.35099802696276544</v>
      </c>
      <c r="N140" s="55">
        <v>-2647819222.08285</v>
      </c>
      <c r="O140" s="53">
        <v>9.5000000000000001E-2</v>
      </c>
      <c r="P140" s="53">
        <v>-3.5000000000000003E-2</v>
      </c>
      <c r="Q140" s="16">
        <v>2556127000000</v>
      </c>
      <c r="R140" s="4">
        <f t="shared" si="163"/>
        <v>-8.3647288172007464E-3</v>
      </c>
      <c r="S140" s="4">
        <f t="shared" si="164"/>
        <v>-6.3250277190509074E-2</v>
      </c>
      <c r="U140" s="2">
        <v>138</v>
      </c>
      <c r="V140" s="4"/>
      <c r="W140" s="2">
        <v>2020</v>
      </c>
      <c r="X140" s="4">
        <v>-8.5800545118257937E-2</v>
      </c>
    </row>
    <row r="141" spans="1:24" x14ac:dyDescent="0.35">
      <c r="A141" s="8">
        <v>139</v>
      </c>
      <c r="B141" s="9"/>
      <c r="C141" s="6">
        <v>2021</v>
      </c>
      <c r="D141" s="16">
        <v>1681525000000</v>
      </c>
      <c r="E141" s="16">
        <v>5605321000000</v>
      </c>
      <c r="F141" s="16">
        <f t="shared" ref="F141:F202" si="165">D141-E141</f>
        <v>-3923796000000</v>
      </c>
      <c r="G141" s="16">
        <v>89964369000000</v>
      </c>
      <c r="H141" s="4">
        <f t="shared" si="159"/>
        <v>-5.0181932391063576E-2</v>
      </c>
      <c r="I141" s="4">
        <f t="shared" si="160"/>
        <v>1.2789128790350869E-14</v>
      </c>
      <c r="J141" s="16">
        <v>124881266000000</v>
      </c>
      <c r="K141" s="4">
        <f t="shared" si="161"/>
        <v>0.13305752042401486</v>
      </c>
      <c r="L141" s="16">
        <v>29780132000000</v>
      </c>
      <c r="M141" s="4">
        <f t="shared" si="162"/>
        <v>0.38086194354164921</v>
      </c>
      <c r="N141" s="55">
        <v>-2647819222.08285</v>
      </c>
      <c r="O141" s="53">
        <v>9.5000000000000001E-2</v>
      </c>
      <c r="P141" s="53">
        <v>-3.5000000000000003E-2</v>
      </c>
      <c r="Q141" s="16">
        <v>2773872000000</v>
      </c>
      <c r="R141" s="4">
        <f t="shared" si="163"/>
        <v>-9.8811992532431454E-4</v>
      </c>
      <c r="S141" s="4">
        <f t="shared" si="164"/>
        <v>-4.9193812465739263E-2</v>
      </c>
      <c r="U141" s="2">
        <v>139</v>
      </c>
      <c r="V141" s="4"/>
      <c r="W141" s="2">
        <v>2021</v>
      </c>
      <c r="X141" s="4">
        <v>-0.10379904703432252</v>
      </c>
    </row>
    <row r="142" spans="1:24" x14ac:dyDescent="0.35">
      <c r="A142" s="8">
        <v>140</v>
      </c>
      <c r="B142" s="9"/>
      <c r="C142" s="6">
        <v>2022</v>
      </c>
      <c r="D142" s="16">
        <v>866779000000</v>
      </c>
      <c r="E142" s="16">
        <v>2779742000000</v>
      </c>
      <c r="F142" s="16">
        <f t="shared" si="165"/>
        <v>-1912963000000</v>
      </c>
      <c r="G142" s="16">
        <v>88562617000000</v>
      </c>
      <c r="H142" s="4">
        <f t="shared" si="159"/>
        <v>-2.1263562688912985E-2</v>
      </c>
      <c r="I142" s="4">
        <f t="shared" si="160"/>
        <v>1.1115511742209851E-14</v>
      </c>
      <c r="J142" s="16">
        <v>124682692000000</v>
      </c>
      <c r="K142" s="4">
        <f t="shared" si="161"/>
        <v>-2.2072516286975792E-3</v>
      </c>
      <c r="L142" s="16">
        <v>32426439000000</v>
      </c>
      <c r="M142" s="4">
        <f t="shared" si="162"/>
        <v>0.36043646346255148</v>
      </c>
      <c r="N142" s="55">
        <v>-2647819222.08285</v>
      </c>
      <c r="O142" s="53">
        <v>9.5000000000000001E-2</v>
      </c>
      <c r="P142" s="53">
        <v>-3.5000000000000003E-2</v>
      </c>
      <c r="Q142" s="16">
        <v>2181496000000</v>
      </c>
      <c r="R142" s="4">
        <f t="shared" si="163"/>
        <v>-1.2228863565108571E-2</v>
      </c>
      <c r="S142" s="4">
        <f t="shared" si="164"/>
        <v>-9.0346991238044148E-3</v>
      </c>
      <c r="U142" s="2">
        <v>140</v>
      </c>
      <c r="V142" s="4"/>
      <c r="W142" s="2">
        <v>2022</v>
      </c>
      <c r="X142" s="4">
        <v>-8.9453154686919348E-2</v>
      </c>
    </row>
    <row r="143" spans="1:24" x14ac:dyDescent="0.35">
      <c r="A143" s="8">
        <v>141</v>
      </c>
      <c r="B143" s="9" t="s">
        <v>66</v>
      </c>
      <c r="C143" s="8">
        <v>2018</v>
      </c>
      <c r="D143" s="15"/>
      <c r="E143" s="15"/>
      <c r="F143" s="16"/>
      <c r="G143" s="16">
        <v>1255573914558</v>
      </c>
      <c r="H143" s="4"/>
      <c r="I143" s="4"/>
      <c r="J143" s="15">
        <v>1405384153405</v>
      </c>
      <c r="K143" s="4"/>
      <c r="L143" s="15">
        <v>319990859164</v>
      </c>
      <c r="M143" s="4"/>
      <c r="N143" s="55">
        <v>-2647819222.08285</v>
      </c>
      <c r="O143" s="53">
        <v>9.5000000000000001E-2</v>
      </c>
      <c r="P143" s="53">
        <v>-3.5000000000000003E-2</v>
      </c>
      <c r="Q143" s="15">
        <f>61016793283+2489066986</f>
        <v>63505860269</v>
      </c>
      <c r="R143" s="4"/>
      <c r="S143" s="4"/>
      <c r="U143" s="2">
        <v>141</v>
      </c>
      <c r="V143" s="4" t="s">
        <v>73</v>
      </c>
      <c r="W143" s="5">
        <v>2019</v>
      </c>
      <c r="X143" s="4">
        <v>-2.8234899992376813E-2</v>
      </c>
    </row>
    <row r="144" spans="1:24" x14ac:dyDescent="0.35">
      <c r="A144" s="8">
        <v>142</v>
      </c>
      <c r="B144" s="9"/>
      <c r="C144" s="8">
        <v>2019</v>
      </c>
      <c r="D144" s="16">
        <v>15546076147</v>
      </c>
      <c r="E144" s="16">
        <v>27328091481</v>
      </c>
      <c r="F144" s="16">
        <f t="shared" si="165"/>
        <v>-11782015334</v>
      </c>
      <c r="G144" s="16">
        <v>1299521608556</v>
      </c>
      <c r="H144" s="4">
        <f t="shared" si="159"/>
        <v>-9.383768806751314E-3</v>
      </c>
      <c r="I144" s="4">
        <f t="shared" si="160"/>
        <v>7.9644853115002016E-13</v>
      </c>
      <c r="J144" s="16">
        <v>1393574099760</v>
      </c>
      <c r="K144" s="4">
        <f t="shared" si="161"/>
        <v>-9.4060998783631923E-3</v>
      </c>
      <c r="L144" s="16">
        <v>329061638626</v>
      </c>
      <c r="M144" s="4">
        <f t="shared" si="162"/>
        <v>0.26208065874149644</v>
      </c>
      <c r="N144" s="55">
        <v>-2647819222.08285</v>
      </c>
      <c r="O144" s="53">
        <v>9.5000000000000001E-2</v>
      </c>
      <c r="P144" s="53">
        <v>-3.5000000000000003E-2</v>
      </c>
      <c r="Q144" s="16">
        <f>65469580123+640323228</f>
        <v>66109903351</v>
      </c>
      <c r="R144" s="4">
        <f t="shared" si="163"/>
        <v>-1.2372282971908032E-2</v>
      </c>
      <c r="S144" s="4">
        <f t="shared" si="164"/>
        <v>2.9885141651567176E-3</v>
      </c>
      <c r="U144" s="2">
        <v>142</v>
      </c>
      <c r="V144" s="4"/>
      <c r="W144" s="2">
        <v>2020</v>
      </c>
      <c r="X144" s="4">
        <v>-2.8702818987567564E-2</v>
      </c>
    </row>
    <row r="145" spans="1:24" x14ac:dyDescent="0.35">
      <c r="A145" s="8">
        <v>143</v>
      </c>
      <c r="B145" s="9"/>
      <c r="C145" s="6">
        <v>2020</v>
      </c>
      <c r="D145" s="16">
        <v>42707905600</v>
      </c>
      <c r="E145" s="16">
        <v>172506562986</v>
      </c>
      <c r="F145" s="16">
        <f t="shared" si="165"/>
        <v>-129798657386</v>
      </c>
      <c r="G145" s="16">
        <v>1614442007528</v>
      </c>
      <c r="H145" s="4">
        <f t="shared" si="159"/>
        <v>-9.988187693949116E-2</v>
      </c>
      <c r="I145" s="4">
        <f t="shared" si="160"/>
        <v>7.6951394529805324E-13</v>
      </c>
      <c r="J145" s="16">
        <v>1994066771177</v>
      </c>
      <c r="K145" s="4">
        <f t="shared" si="161"/>
        <v>0.46208748470466321</v>
      </c>
      <c r="L145" s="16">
        <v>298904982008</v>
      </c>
      <c r="M145" s="4">
        <f t="shared" si="162"/>
        <v>0.23001155197421971</v>
      </c>
      <c r="N145" s="55">
        <v>-2647819222.08285</v>
      </c>
      <c r="O145" s="53">
        <v>9.5000000000000001E-2</v>
      </c>
      <c r="P145" s="53">
        <v>-3.5000000000000003E-2</v>
      </c>
      <c r="Q145" s="16">
        <f>99621123187+608866604</f>
        <v>100229989791</v>
      </c>
      <c r="R145" s="4">
        <f t="shared" si="163"/>
        <v>3.1316064090440597E-2</v>
      </c>
      <c r="S145" s="4">
        <f t="shared" si="164"/>
        <v>-0.13119794102993176</v>
      </c>
      <c r="U145" s="2">
        <v>143</v>
      </c>
      <c r="V145" s="4"/>
      <c r="W145" s="2">
        <v>2021</v>
      </c>
      <c r="X145" s="4">
        <v>-0.10056311169900238</v>
      </c>
    </row>
    <row r="146" spans="1:24" x14ac:dyDescent="0.35">
      <c r="A146" s="8">
        <v>144</v>
      </c>
      <c r="B146" s="9"/>
      <c r="C146" s="6">
        <v>2021</v>
      </c>
      <c r="D146" s="16">
        <v>38007115891</v>
      </c>
      <c r="E146" s="16">
        <v>176877010231</v>
      </c>
      <c r="F146" s="16">
        <f t="shared" si="165"/>
        <v>-138869894340</v>
      </c>
      <c r="G146" s="16">
        <v>1891169731202</v>
      </c>
      <c r="H146" s="4">
        <f t="shared" si="159"/>
        <v>-8.6017270172890695E-2</v>
      </c>
      <c r="I146" s="4">
        <f t="shared" si="160"/>
        <v>6.1940905609311987E-13</v>
      </c>
      <c r="J146" s="16">
        <v>2733691702981</v>
      </c>
      <c r="K146" s="4">
        <f t="shared" si="161"/>
        <v>0.45813038087165381</v>
      </c>
      <c r="L146" s="16">
        <v>278218781185</v>
      </c>
      <c r="M146" s="4">
        <f t="shared" si="162"/>
        <v>0.17233123264117911</v>
      </c>
      <c r="N146" s="55">
        <v>-2647819222.08285</v>
      </c>
      <c r="O146" s="53">
        <v>9.5000000000000001E-2</v>
      </c>
      <c r="P146" s="53">
        <v>-3.5000000000000003E-2</v>
      </c>
      <c r="Q146" s="16">
        <f>99429678392+326693263</f>
        <v>99756371655</v>
      </c>
      <c r="R146" s="4">
        <f t="shared" si="163"/>
        <v>3.5878579354754282E-2</v>
      </c>
      <c r="S146" s="4">
        <f t="shared" si="164"/>
        <v>-0.12189584952764498</v>
      </c>
      <c r="U146" s="2">
        <v>144</v>
      </c>
      <c r="V146" s="4"/>
      <c r="W146" s="2">
        <v>2022</v>
      </c>
      <c r="X146" s="4">
        <v>-0.11838407788264027</v>
      </c>
    </row>
    <row r="147" spans="1:24" x14ac:dyDescent="0.35">
      <c r="A147" s="8">
        <v>145</v>
      </c>
      <c r="B147" s="9"/>
      <c r="C147" s="6">
        <v>2022</v>
      </c>
      <c r="D147" s="16">
        <v>69826921963</v>
      </c>
      <c r="E147" s="16">
        <v>249644129079</v>
      </c>
      <c r="F147" s="16">
        <f t="shared" si="165"/>
        <v>-179817207116</v>
      </c>
      <c r="G147" s="16">
        <v>2168793843296</v>
      </c>
      <c r="H147" s="4">
        <f t="shared" si="159"/>
        <v>-9.5082532333949102E-2</v>
      </c>
      <c r="I147" s="4">
        <f t="shared" si="160"/>
        <v>5.2877326847041623E-13</v>
      </c>
      <c r="J147" s="16">
        <v>3704350294106</v>
      </c>
      <c r="K147" s="4">
        <f t="shared" si="161"/>
        <v>0.51325831579805559</v>
      </c>
      <c r="L147" s="16">
        <v>260434186829</v>
      </c>
      <c r="M147" s="4">
        <f t="shared" si="162"/>
        <v>0.13771063619100535</v>
      </c>
      <c r="N147" s="55">
        <v>-2647819222.08285</v>
      </c>
      <c r="O147" s="53">
        <v>9.5000000000000001E-2</v>
      </c>
      <c r="P147" s="53">
        <v>-3.5000000000000003E-2</v>
      </c>
      <c r="Q147" s="16">
        <f>123807836256+654265209</f>
        <v>124462101465</v>
      </c>
      <c r="R147" s="4">
        <f t="shared" si="163"/>
        <v>4.1298517407100374E-2</v>
      </c>
      <c r="S147" s="4">
        <f t="shared" si="164"/>
        <v>-0.13638104974104948</v>
      </c>
      <c r="U147" s="2">
        <v>145</v>
      </c>
      <c r="V147" s="4" t="s">
        <v>74</v>
      </c>
      <c r="W147" s="5">
        <v>2019</v>
      </c>
      <c r="X147" s="4">
        <v>-2.4675881159356199E-2</v>
      </c>
    </row>
    <row r="148" spans="1:24" x14ac:dyDescent="0.35">
      <c r="A148" s="8">
        <v>146</v>
      </c>
      <c r="B148" s="9" t="s">
        <v>67</v>
      </c>
      <c r="C148" s="8">
        <v>2018</v>
      </c>
      <c r="D148" s="15"/>
      <c r="E148" s="15"/>
      <c r="F148" s="16"/>
      <c r="G148" s="16">
        <v>46602420000000</v>
      </c>
      <c r="H148" s="4"/>
      <c r="I148" s="4"/>
      <c r="J148" s="15">
        <v>106741891000000</v>
      </c>
      <c r="K148" s="4"/>
      <c r="L148" s="15">
        <v>7288435000000</v>
      </c>
      <c r="M148" s="4"/>
      <c r="N148" s="55">
        <v>-2647819222.08285</v>
      </c>
      <c r="O148" s="53">
        <v>9.5000000000000001E-2</v>
      </c>
      <c r="P148" s="53">
        <v>-3.5000000000000003E-2</v>
      </c>
      <c r="Q148" s="15">
        <f>3370321000000+137280000000+299975000000+7759000000</f>
        <v>3815335000000</v>
      </c>
      <c r="R148" s="4"/>
      <c r="S148" s="4"/>
      <c r="U148" s="2">
        <v>146</v>
      </c>
      <c r="V148" s="4"/>
      <c r="W148" s="2">
        <v>2020</v>
      </c>
      <c r="X148" s="4">
        <v>-4.2287565938692595E-3</v>
      </c>
    </row>
    <row r="149" spans="1:24" x14ac:dyDescent="0.35">
      <c r="A149" s="8">
        <v>147</v>
      </c>
      <c r="B149" s="9"/>
      <c r="C149" s="8">
        <v>2019</v>
      </c>
      <c r="D149" s="16">
        <v>4537910000000</v>
      </c>
      <c r="E149" s="16">
        <v>13721513000000</v>
      </c>
      <c r="F149" s="16">
        <f t="shared" si="165"/>
        <v>-9183603000000</v>
      </c>
      <c r="G149" s="16">
        <v>50902806000000</v>
      </c>
      <c r="H149" s="4">
        <f t="shared" si="159"/>
        <v>-0.19706279201809693</v>
      </c>
      <c r="I149" s="4">
        <f t="shared" si="160"/>
        <v>2.1458113119447444E-14</v>
      </c>
      <c r="J149" s="16">
        <v>106055176000000</v>
      </c>
      <c r="K149" s="4">
        <f t="shared" si="161"/>
        <v>-1.4735608150821353E-2</v>
      </c>
      <c r="L149" s="16">
        <v>7297912000000</v>
      </c>
      <c r="M149" s="4">
        <f t="shared" si="162"/>
        <v>0.15659942123177295</v>
      </c>
      <c r="N149" s="55">
        <v>-2647819222.08285</v>
      </c>
      <c r="O149" s="53">
        <v>9.5000000000000001E-2</v>
      </c>
      <c r="P149" s="53">
        <v>-3.5000000000000003E-2</v>
      </c>
      <c r="Q149" s="16">
        <f>3118541000000+136413000000+527407000000+3880000000</f>
        <v>3786241000000</v>
      </c>
      <c r="R149" s="4">
        <f t="shared" si="163"/>
        <v>-6.8783709992331493E-3</v>
      </c>
      <c r="S149" s="4">
        <f t="shared" si="164"/>
        <v>-0.19018442101886379</v>
      </c>
      <c r="U149" s="2">
        <v>147</v>
      </c>
      <c r="V149" s="4"/>
      <c r="W149" s="2">
        <v>2021</v>
      </c>
      <c r="X149" s="4">
        <v>3.252746786282598E-3</v>
      </c>
    </row>
    <row r="150" spans="1:24" x14ac:dyDescent="0.35">
      <c r="A150" s="8">
        <v>148</v>
      </c>
      <c r="B150" s="9"/>
      <c r="C150" s="6">
        <v>2020</v>
      </c>
      <c r="D150" s="16">
        <v>2580088000000</v>
      </c>
      <c r="E150" s="16">
        <v>8581378000000</v>
      </c>
      <c r="F150" s="16">
        <f t="shared" si="165"/>
        <v>-6001290000000</v>
      </c>
      <c r="G150" s="16">
        <v>49674030000000</v>
      </c>
      <c r="H150" s="4">
        <f t="shared" si="159"/>
        <v>-0.11789703695312985</v>
      </c>
      <c r="I150" s="4">
        <f t="shared" si="160"/>
        <v>1.9645282423134003E-14</v>
      </c>
      <c r="J150" s="16">
        <v>92425210000000</v>
      </c>
      <c r="K150" s="4">
        <f t="shared" si="161"/>
        <v>-0.26776453148771406</v>
      </c>
      <c r="L150" s="16">
        <v>6582808000000</v>
      </c>
      <c r="M150" s="4">
        <f t="shared" si="162"/>
        <v>0.12932112229726589</v>
      </c>
      <c r="N150" s="55">
        <v>-2647819222.08285</v>
      </c>
      <c r="O150" s="53">
        <v>9.5000000000000001E-2</v>
      </c>
      <c r="P150" s="53">
        <v>-3.5000000000000003E-2</v>
      </c>
      <c r="Q150" s="16">
        <f>3507586000000+140736000000+450703000000+2489000000</f>
        <v>4101514000000</v>
      </c>
      <c r="R150" s="4">
        <f t="shared" si="163"/>
        <v>-3.060428150507229E-2</v>
      </c>
      <c r="S150" s="4">
        <f t="shared" si="164"/>
        <v>-8.7292755448057563E-2</v>
      </c>
      <c r="U150" s="2">
        <v>148</v>
      </c>
      <c r="V150" s="4"/>
      <c r="W150" s="2">
        <v>2022</v>
      </c>
      <c r="X150" s="4">
        <v>7.7085364335356069E-4</v>
      </c>
    </row>
    <row r="151" spans="1:24" x14ac:dyDescent="0.35">
      <c r="A151" s="8">
        <v>149</v>
      </c>
      <c r="B151" s="9"/>
      <c r="C151" s="6">
        <v>2021</v>
      </c>
      <c r="D151" s="16">
        <v>2015069000000</v>
      </c>
      <c r="E151" s="16">
        <v>7137097000000</v>
      </c>
      <c r="F151" s="16">
        <f t="shared" si="165"/>
        <v>-5122028000000</v>
      </c>
      <c r="G151" s="16">
        <v>53090428000000</v>
      </c>
      <c r="H151" s="4">
        <f t="shared" si="159"/>
        <v>-0.10311279354624539</v>
      </c>
      <c r="I151" s="4">
        <f t="shared" si="160"/>
        <v>2.0131243629719595E-14</v>
      </c>
      <c r="J151" s="16">
        <v>98874784000000</v>
      </c>
      <c r="K151" s="4">
        <f t="shared" si="161"/>
        <v>0.12983794550190511</v>
      </c>
      <c r="L151" s="16">
        <v>6038643000000</v>
      </c>
      <c r="M151" s="4">
        <f t="shared" si="162"/>
        <v>0.12156539342590082</v>
      </c>
      <c r="N151" s="55">
        <v>-2647819222.08285</v>
      </c>
      <c r="O151" s="53">
        <v>9.5000000000000001E-2</v>
      </c>
      <c r="P151" s="53">
        <v>-3.5000000000000003E-2</v>
      </c>
      <c r="Q151" s="16">
        <f>2175531000000+205262000000+489408000000+26398000000</f>
        <v>2896599000000</v>
      </c>
      <c r="R151" s="4">
        <f t="shared" si="163"/>
        <v>1.0330873713647094E-2</v>
      </c>
      <c r="S151" s="4">
        <f t="shared" si="164"/>
        <v>-0.11344366725989248</v>
      </c>
      <c r="U151" s="2">
        <v>149</v>
      </c>
      <c r="V151" s="4" t="s">
        <v>75</v>
      </c>
      <c r="W151" s="5">
        <v>2019</v>
      </c>
      <c r="X151" s="4">
        <v>-9.4911626988378878E-4</v>
      </c>
    </row>
    <row r="152" spans="1:24" x14ac:dyDescent="0.35">
      <c r="A152" s="8">
        <v>150</v>
      </c>
      <c r="B152" s="9"/>
      <c r="C152" s="6">
        <v>2022</v>
      </c>
      <c r="D152" s="16">
        <v>1949315000000</v>
      </c>
      <c r="E152" s="16">
        <v>6323744000000</v>
      </c>
      <c r="F152" s="16">
        <f t="shared" si="165"/>
        <v>-4374429000000</v>
      </c>
      <c r="G152" s="16">
        <v>54786992000000</v>
      </c>
      <c r="H152" s="4">
        <f t="shared" si="159"/>
        <v>-8.2395813422336692E-2</v>
      </c>
      <c r="I152" s="4">
        <f t="shared" si="160"/>
        <v>1.8835787121550424E-14</v>
      </c>
      <c r="J152" s="16">
        <v>111211321000000</v>
      </c>
      <c r="K152" s="4">
        <f t="shared" si="161"/>
        <v>0.2323683847491303</v>
      </c>
      <c r="L152" s="16">
        <v>6697429000000</v>
      </c>
      <c r="M152" s="4">
        <f t="shared" si="162"/>
        <v>0.12615134690569832</v>
      </c>
      <c r="N152" s="55">
        <v>-2647819222.08285</v>
      </c>
      <c r="O152" s="53">
        <v>9.5000000000000001E-2</v>
      </c>
      <c r="P152" s="53">
        <v>-3.5000000000000003E-2</v>
      </c>
      <c r="Q152" s="16">
        <f>2843594000000+102133000000+259687000000+188471000000</f>
        <v>3393885000000</v>
      </c>
      <c r="R152" s="4">
        <f t="shared" si="163"/>
        <v>1.6719982192984338E-2</v>
      </c>
      <c r="S152" s="4">
        <f t="shared" si="164"/>
        <v>-9.9115795615321023E-2</v>
      </c>
      <c r="U152" s="2">
        <v>150</v>
      </c>
      <c r="V152" s="4"/>
      <c r="W152" s="2">
        <v>2020</v>
      </c>
      <c r="X152" s="4">
        <v>-5.2890614906185962E-2</v>
      </c>
    </row>
    <row r="153" spans="1:24" x14ac:dyDescent="0.35">
      <c r="A153" s="8">
        <v>151</v>
      </c>
      <c r="B153" s="9" t="s">
        <v>68</v>
      </c>
      <c r="C153" s="8">
        <v>2018</v>
      </c>
      <c r="D153" s="15"/>
      <c r="E153" s="15"/>
      <c r="F153" s="16"/>
      <c r="G153" s="16">
        <v>20326869000000</v>
      </c>
      <c r="H153" s="4"/>
      <c r="I153" s="4"/>
      <c r="J153" s="15">
        <v>41802073000000</v>
      </c>
      <c r="K153" s="4"/>
      <c r="L153" s="15">
        <v>10627387000000</v>
      </c>
      <c r="M153" s="4"/>
      <c r="N153" s="55">
        <v>-2647819222.08285</v>
      </c>
      <c r="O153" s="53">
        <v>9.5000000000000001E-2</v>
      </c>
      <c r="P153" s="53">
        <v>-3.5000000000000003E-2</v>
      </c>
      <c r="Q153" s="15">
        <f>4485405000000+498066000000+92172000000+27763000000</f>
        <v>5103406000000</v>
      </c>
      <c r="R153" s="4"/>
      <c r="S153" s="4"/>
      <c r="U153" s="2">
        <v>151</v>
      </c>
      <c r="V153" s="4"/>
      <c r="W153" s="2">
        <v>2021</v>
      </c>
      <c r="X153" s="4">
        <v>-7.0952379773566984E-2</v>
      </c>
    </row>
    <row r="154" spans="1:24" x14ac:dyDescent="0.35">
      <c r="A154" s="8">
        <v>152</v>
      </c>
      <c r="B154" s="9"/>
      <c r="C154" s="8">
        <v>2019</v>
      </c>
      <c r="D154" s="16">
        <v>2508935000000</v>
      </c>
      <c r="E154" s="16">
        <v>7392837000000</v>
      </c>
      <c r="F154" s="16">
        <f t="shared" si="165"/>
        <v>-4883902000000</v>
      </c>
      <c r="G154" s="16">
        <v>20649371000000</v>
      </c>
      <c r="H154" s="4">
        <f t="shared" si="159"/>
        <v>-0.24026828726057123</v>
      </c>
      <c r="I154" s="4">
        <f t="shared" si="160"/>
        <v>4.919596815426911E-14</v>
      </c>
      <c r="J154" s="16">
        <v>42922563000000</v>
      </c>
      <c r="K154" s="4">
        <f t="shared" si="161"/>
        <v>5.5123590357176996E-2</v>
      </c>
      <c r="L154" s="16">
        <v>10715376000000</v>
      </c>
      <c r="M154" s="4">
        <f t="shared" si="162"/>
        <v>0.52715329645701947</v>
      </c>
      <c r="N154" s="55">
        <v>-2647819222.08285</v>
      </c>
      <c r="O154" s="53">
        <v>9.5000000000000001E-2</v>
      </c>
      <c r="P154" s="53">
        <v>-3.5000000000000003E-2</v>
      </c>
      <c r="Q154" s="16">
        <f>4896714000000+438775000000+78378000000+33884000000</f>
        <v>5447751000000</v>
      </c>
      <c r="R154" s="4">
        <f t="shared" si="163"/>
        <v>-1.4953222959329488E-2</v>
      </c>
      <c r="S154" s="4">
        <f t="shared" si="164"/>
        <v>-0.22531506430124174</v>
      </c>
      <c r="U154" s="2">
        <v>152</v>
      </c>
      <c r="V154" s="4"/>
      <c r="W154" s="2">
        <v>2022</v>
      </c>
      <c r="X154" s="4">
        <v>-0.15743048999044842</v>
      </c>
    </row>
    <row r="155" spans="1:24" x14ac:dyDescent="0.35">
      <c r="A155" s="8">
        <v>153</v>
      </c>
      <c r="B155" s="9"/>
      <c r="C155" s="6">
        <v>2020</v>
      </c>
      <c r="D155" s="16">
        <v>2043333000000</v>
      </c>
      <c r="E155" s="16">
        <v>7163536000000</v>
      </c>
      <c r="F155" s="16">
        <f t="shared" si="165"/>
        <v>-5120203000000</v>
      </c>
      <c r="G155" s="16">
        <v>20534632000000</v>
      </c>
      <c r="H155" s="4">
        <f t="shared" si="159"/>
        <v>-0.2479592719797615</v>
      </c>
      <c r="I155" s="4">
        <f t="shared" si="160"/>
        <v>4.842762522887501E-14</v>
      </c>
      <c r="J155" s="16">
        <v>42972474000000</v>
      </c>
      <c r="K155" s="4">
        <f t="shared" si="161"/>
        <v>2.4170712027983808E-3</v>
      </c>
      <c r="L155" s="16">
        <v>10419902000000</v>
      </c>
      <c r="M155" s="4">
        <f t="shared" si="162"/>
        <v>0.50461110897760519</v>
      </c>
      <c r="N155" s="55">
        <v>-2647819222.08285</v>
      </c>
      <c r="O155" s="53">
        <v>9.5000000000000001E-2</v>
      </c>
      <c r="P155" s="53">
        <v>-3.5000000000000003E-2</v>
      </c>
      <c r="Q155" s="16">
        <f>4978160000000+317128000000+70109000000+47957000000</f>
        <v>5413354000000</v>
      </c>
      <c r="R155" s="4">
        <f t="shared" si="163"/>
        <v>-1.7401746969536405E-2</v>
      </c>
      <c r="S155" s="4">
        <f t="shared" si="164"/>
        <v>-0.23055752501022508</v>
      </c>
      <c r="U155" s="2">
        <v>153</v>
      </c>
      <c r="V155" s="4" t="s">
        <v>76</v>
      </c>
      <c r="W155" s="5">
        <v>2019</v>
      </c>
      <c r="X155" s="4">
        <v>-0.14995905348886007</v>
      </c>
    </row>
    <row r="156" spans="1:24" x14ac:dyDescent="0.35">
      <c r="A156" s="8">
        <v>154</v>
      </c>
      <c r="B156" s="9"/>
      <c r="C156" s="6">
        <v>2021</v>
      </c>
      <c r="D156" s="16">
        <v>1738444000000</v>
      </c>
      <c r="E156" s="16">
        <v>5758148000000</v>
      </c>
      <c r="F156" s="16">
        <f t="shared" si="165"/>
        <v>-4019704000000</v>
      </c>
      <c r="G156" s="16">
        <v>19068532000000</v>
      </c>
      <c r="H156" s="4">
        <f t="shared" si="159"/>
        <v>-0.19575242448951605</v>
      </c>
      <c r="I156" s="4">
        <f t="shared" si="160"/>
        <v>4.8698218697077213E-14</v>
      </c>
      <c r="J156" s="16">
        <v>39545959000000</v>
      </c>
      <c r="K156" s="4">
        <f t="shared" si="161"/>
        <v>-0.16686517683881552</v>
      </c>
      <c r="L156" s="16">
        <v>10102086000000</v>
      </c>
      <c r="M156" s="4">
        <f t="shared" si="162"/>
        <v>0.49195359332468191</v>
      </c>
      <c r="N156" s="55">
        <v>-2647819222.08285</v>
      </c>
      <c r="O156" s="53">
        <v>9.5000000000000001E-2</v>
      </c>
      <c r="P156" s="53">
        <v>-3.5000000000000003E-2</v>
      </c>
      <c r="Q156" s="16">
        <f>4136690000000+379865000000+52939000000+68645000000</f>
        <v>4638139000000</v>
      </c>
      <c r="R156" s="4">
        <f t="shared" si="163"/>
        <v>-2.9613110632909459E-2</v>
      </c>
      <c r="S156" s="4">
        <f t="shared" si="164"/>
        <v>-0.16613931385660657</v>
      </c>
      <c r="U156" s="2">
        <v>154</v>
      </c>
      <c r="V156" s="4"/>
      <c r="W156" s="2">
        <v>2020</v>
      </c>
      <c r="X156" s="4">
        <v>-0.17642667975664469</v>
      </c>
    </row>
    <row r="157" spans="1:24" x14ac:dyDescent="0.35">
      <c r="A157" s="8">
        <v>155</v>
      </c>
      <c r="B157" s="9"/>
      <c r="C157" s="6">
        <v>2022</v>
      </c>
      <c r="D157" s="16">
        <v>1629042000000</v>
      </c>
      <c r="E157" s="16">
        <v>5364761000000</v>
      </c>
      <c r="F157" s="16">
        <f t="shared" si="165"/>
        <v>-3735719000000</v>
      </c>
      <c r="G157" s="16">
        <v>18318114000000</v>
      </c>
      <c r="H157" s="4">
        <f t="shared" si="159"/>
        <v>-0.1959101518669607</v>
      </c>
      <c r="I157" s="4">
        <f t="shared" si="160"/>
        <v>5.2442421891732408E-14</v>
      </c>
      <c r="J157" s="16">
        <v>41218881000000</v>
      </c>
      <c r="K157" s="4">
        <f t="shared" si="161"/>
        <v>8.7732081315960761E-2</v>
      </c>
      <c r="L157" s="16">
        <v>9536027000000</v>
      </c>
      <c r="M157" s="4">
        <f t="shared" si="162"/>
        <v>0.50009235110495132</v>
      </c>
      <c r="N157" s="55">
        <v>-2647819222.08285</v>
      </c>
      <c r="O157" s="53">
        <v>9.5000000000000001E-2</v>
      </c>
      <c r="P157" s="53">
        <v>-3.5000000000000003E-2</v>
      </c>
      <c r="Q157" s="16">
        <f>3507072000000+417427000000+212065000000+74246000000</f>
        <v>4210810000000</v>
      </c>
      <c r="R157" s="4">
        <f t="shared" si="163"/>
        <v>-7.1785766844601803E-3</v>
      </c>
      <c r="S157" s="4">
        <f t="shared" si="164"/>
        <v>-0.18873157518250053</v>
      </c>
      <c r="U157" s="2">
        <v>155</v>
      </c>
      <c r="V157" s="4"/>
      <c r="W157" s="2">
        <v>2021</v>
      </c>
      <c r="X157" s="4">
        <v>-0.2378261619844981</v>
      </c>
    </row>
    <row r="158" spans="1:24" x14ac:dyDescent="0.35">
      <c r="A158" s="8">
        <v>156</v>
      </c>
      <c r="B158" s="9" t="s">
        <v>69</v>
      </c>
      <c r="C158" s="8">
        <v>2018</v>
      </c>
      <c r="D158" s="15"/>
      <c r="E158" s="15"/>
      <c r="F158" s="16"/>
      <c r="G158" s="16">
        <v>986798686383</v>
      </c>
      <c r="H158" s="4"/>
      <c r="I158" s="4"/>
      <c r="J158" s="15">
        <v>1176679314139</v>
      </c>
      <c r="K158" s="4"/>
      <c r="L158" s="15">
        <v>313507248253</v>
      </c>
      <c r="M158" s="4"/>
      <c r="N158" s="55">
        <v>-2647819222.08285</v>
      </c>
      <c r="O158" s="53">
        <v>9.5000000000000001E-2</v>
      </c>
      <c r="P158" s="53">
        <v>-3.5000000000000003E-2</v>
      </c>
      <c r="Q158" s="15">
        <f>106257122365+3760934694+2158234912</f>
        <v>112176291971</v>
      </c>
      <c r="R158" s="4"/>
      <c r="S158" s="4"/>
      <c r="U158" s="2">
        <v>156</v>
      </c>
      <c r="V158" s="4"/>
      <c r="W158" s="2">
        <v>2022</v>
      </c>
      <c r="X158" s="4">
        <v>-0.17540732440345275</v>
      </c>
    </row>
    <row r="159" spans="1:24" x14ac:dyDescent="0.35">
      <c r="A159" s="8">
        <v>157</v>
      </c>
      <c r="B159" s="9"/>
      <c r="C159" s="8">
        <v>2019</v>
      </c>
      <c r="D159" s="16">
        <v>9250909950</v>
      </c>
      <c r="E159" s="16">
        <v>32133014664</v>
      </c>
      <c r="F159" s="16">
        <f t="shared" si="165"/>
        <v>-22882104714</v>
      </c>
      <c r="G159" s="16">
        <v>962025149261</v>
      </c>
      <c r="H159" s="4">
        <f t="shared" si="159"/>
        <v>-2.3188219674138189E-2</v>
      </c>
      <c r="I159" s="4">
        <f t="shared" si="160"/>
        <v>1.0133779197309109E-12</v>
      </c>
      <c r="J159" s="16">
        <v>1187269670295</v>
      </c>
      <c r="K159" s="4">
        <f t="shared" si="161"/>
        <v>1.0732033090576725E-2</v>
      </c>
      <c r="L159" s="16">
        <v>297319143583</v>
      </c>
      <c r="M159" s="4">
        <f t="shared" si="162"/>
        <v>0.30129665522031651</v>
      </c>
      <c r="N159" s="55">
        <v>-2647819222.08285</v>
      </c>
      <c r="O159" s="53">
        <v>9.5000000000000001E-2</v>
      </c>
      <c r="P159" s="53">
        <v>-3.5000000000000003E-2</v>
      </c>
      <c r="Q159" s="16">
        <f>130892921969+1819564203</f>
        <v>132712486172</v>
      </c>
      <c r="R159" s="4">
        <f t="shared" si="163"/>
        <v>-1.4186119271271069E-2</v>
      </c>
      <c r="S159" s="4">
        <f t="shared" si="164"/>
        <v>-9.0021004028671206E-3</v>
      </c>
      <c r="U159" s="2">
        <v>157</v>
      </c>
      <c r="V159" s="4" t="s">
        <v>77</v>
      </c>
      <c r="W159" s="5">
        <v>2019</v>
      </c>
      <c r="X159" s="4">
        <v>-5.0174538136711105E-2</v>
      </c>
    </row>
    <row r="160" spans="1:24" x14ac:dyDescent="0.35">
      <c r="A160" s="8">
        <v>158</v>
      </c>
      <c r="B160" s="9"/>
      <c r="C160" s="6">
        <v>2020</v>
      </c>
      <c r="D160" s="16">
        <v>9302921992</v>
      </c>
      <c r="E160" s="16">
        <v>1599783419</v>
      </c>
      <c r="F160" s="16">
        <f t="shared" si="165"/>
        <v>7703138573</v>
      </c>
      <c r="G160" s="16">
        <v>972015359252</v>
      </c>
      <c r="H160" s="4">
        <f t="shared" si="159"/>
        <v>8.0072112240696918E-3</v>
      </c>
      <c r="I160" s="4">
        <f t="shared" si="160"/>
        <v>1.0394738648653533E-12</v>
      </c>
      <c r="J160" s="16">
        <v>984347363283</v>
      </c>
      <c r="K160" s="4">
        <f t="shared" si="161"/>
        <v>-0.21093243473715742</v>
      </c>
      <c r="L160" s="16">
        <v>385727013711</v>
      </c>
      <c r="M160" s="4">
        <f t="shared" si="162"/>
        <v>0.40095314972514429</v>
      </c>
      <c r="N160" s="55">
        <v>-2647819222.08285</v>
      </c>
      <c r="O160" s="53">
        <v>9.5000000000000001E-2</v>
      </c>
      <c r="P160" s="53">
        <v>-3.5000000000000003E-2</v>
      </c>
      <c r="Q160" s="16">
        <f>136963255037+665967104+2168372790+4108000120</f>
        <v>143905595051</v>
      </c>
      <c r="R160" s="4">
        <f t="shared" si="163"/>
        <v>-3.7929600114552958E-2</v>
      </c>
      <c r="S160" s="4">
        <f t="shared" si="164"/>
        <v>4.5936811338622652E-2</v>
      </c>
      <c r="U160" s="2">
        <v>158</v>
      </c>
      <c r="V160" s="4"/>
      <c r="W160" s="2">
        <v>2020</v>
      </c>
      <c r="X160" s="4">
        <v>-6.0462964416296901E-2</v>
      </c>
    </row>
    <row r="161" spans="1:24" x14ac:dyDescent="0.35">
      <c r="A161" s="8">
        <v>159</v>
      </c>
      <c r="B161" s="9"/>
      <c r="C161" s="6">
        <v>2021</v>
      </c>
      <c r="D161" s="16">
        <v>3860445204</v>
      </c>
      <c r="E161" s="16">
        <v>13140035584</v>
      </c>
      <c r="F161" s="16">
        <f t="shared" si="165"/>
        <v>-9279590380</v>
      </c>
      <c r="G161" s="16">
        <v>1066798461757</v>
      </c>
      <c r="H161" s="4">
        <f t="shared" si="159"/>
        <v>-9.5467528282073347E-3</v>
      </c>
      <c r="I161" s="4">
        <f t="shared" si="160"/>
        <v>1.0287903277264417E-12</v>
      </c>
      <c r="J161" s="16">
        <v>1110431789918</v>
      </c>
      <c r="K161" s="4">
        <f t="shared" si="161"/>
        <v>0.12971443859902215</v>
      </c>
      <c r="L161" s="16">
        <v>415722199608</v>
      </c>
      <c r="M161" s="4">
        <f t="shared" si="162"/>
        <v>0.42769097797787153</v>
      </c>
      <c r="N161" s="55">
        <v>-2647819222.08285</v>
      </c>
      <c r="O161" s="53">
        <v>9.5000000000000001E-2</v>
      </c>
      <c r="P161" s="53">
        <v>-3.5000000000000003E-2</v>
      </c>
      <c r="Q161" s="16">
        <f>124825791657+812122348</f>
        <v>125637914005</v>
      </c>
      <c r="R161" s="4">
        <f t="shared" si="163"/>
        <v>-3.5849700784043263E-3</v>
      </c>
      <c r="S161" s="4">
        <f t="shared" si="164"/>
        <v>-5.9617827498030084E-3</v>
      </c>
      <c r="U161" s="2">
        <v>159</v>
      </c>
      <c r="V161" s="4"/>
      <c r="W161" s="2">
        <v>2021</v>
      </c>
      <c r="X161" s="4">
        <v>-6.5843196633404169E-2</v>
      </c>
    </row>
    <row r="162" spans="1:24" x14ac:dyDescent="0.35">
      <c r="A162" s="8">
        <v>160</v>
      </c>
      <c r="B162" s="9"/>
      <c r="C162" s="6">
        <v>2022</v>
      </c>
      <c r="D162" s="16">
        <v>11532388436</v>
      </c>
      <c r="E162" s="16">
        <v>698083223</v>
      </c>
      <c r="F162" s="16">
        <f t="shared" si="165"/>
        <v>10834305213</v>
      </c>
      <c r="G162" s="16">
        <v>1094655889281</v>
      </c>
      <c r="H162" s="4">
        <f t="shared" si="159"/>
        <v>1.0155906294761687E-2</v>
      </c>
      <c r="I162" s="4">
        <f t="shared" si="160"/>
        <v>9.3738417878201292E-13</v>
      </c>
      <c r="J162" s="16">
        <v>1109283319347</v>
      </c>
      <c r="K162" s="4">
        <f t="shared" si="161"/>
        <v>-1.0765581430521444E-3</v>
      </c>
      <c r="L162" s="16">
        <v>413379819183</v>
      </c>
      <c r="M162" s="4">
        <f t="shared" si="162"/>
        <v>0.38749570232991343</v>
      </c>
      <c r="N162" s="55">
        <v>-2647819222.08285</v>
      </c>
      <c r="O162" s="53">
        <v>9.5000000000000001E-2</v>
      </c>
      <c r="P162" s="53">
        <v>-3.5000000000000003E-2</v>
      </c>
      <c r="Q162" s="16">
        <f>140702987625+1190913375</f>
        <v>141893901000</v>
      </c>
      <c r="R162" s="4">
        <f t="shared" si="163"/>
        <v>-1.7594266429054206E-2</v>
      </c>
      <c r="S162" s="4">
        <f t="shared" si="164"/>
        <v>2.7750172723815893E-2</v>
      </c>
      <c r="U162" s="2">
        <v>160</v>
      </c>
      <c r="V162" s="4"/>
      <c r="W162" s="2">
        <v>2022</v>
      </c>
      <c r="X162" s="4">
        <v>-7.4098718203850347E-2</v>
      </c>
    </row>
    <row r="163" spans="1:24" x14ac:dyDescent="0.35">
      <c r="A163" s="8">
        <v>161</v>
      </c>
      <c r="B163" s="9" t="s">
        <v>70</v>
      </c>
      <c r="C163" s="8">
        <v>2018</v>
      </c>
      <c r="D163" s="15"/>
      <c r="E163" s="15"/>
      <c r="F163" s="16"/>
      <c r="G163" s="16">
        <v>4588497407410</v>
      </c>
      <c r="H163" s="4"/>
      <c r="I163" s="4"/>
      <c r="J163" s="15">
        <v>2101477235890</v>
      </c>
      <c r="K163" s="4"/>
      <c r="L163" s="15">
        <v>1932994555038</v>
      </c>
      <c r="M163" s="4"/>
      <c r="N163" s="55">
        <v>-2647819222.08285</v>
      </c>
      <c r="O163" s="53">
        <v>9.5000000000000001E-2</v>
      </c>
      <c r="P163" s="53">
        <v>-3.5000000000000003E-2</v>
      </c>
      <c r="Q163" s="15">
        <f>460193696037+120174917332</f>
        <v>580368613369</v>
      </c>
      <c r="R163" s="4"/>
      <c r="S163" s="4"/>
    </row>
    <row r="164" spans="1:24" x14ac:dyDescent="0.35">
      <c r="A164" s="8">
        <v>162</v>
      </c>
      <c r="B164" s="9"/>
      <c r="C164" s="8">
        <v>2019</v>
      </c>
      <c r="D164" s="16">
        <v>65639976343</v>
      </c>
      <c r="E164" s="16">
        <v>218064313042</v>
      </c>
      <c r="F164" s="16">
        <f t="shared" si="165"/>
        <v>-152424336699</v>
      </c>
      <c r="G164" s="16">
        <v>5515384761490</v>
      </c>
      <c r="H164" s="4">
        <f t="shared" si="159"/>
        <v>-3.321879106934849E-2</v>
      </c>
      <c r="I164" s="4">
        <f t="shared" si="160"/>
        <v>2.1793626784774734E-13</v>
      </c>
      <c r="J164" s="16">
        <v>2136286045964</v>
      </c>
      <c r="K164" s="4">
        <f t="shared" si="161"/>
        <v>7.5861021557486301E-3</v>
      </c>
      <c r="L164" s="16">
        <v>2363095389331</v>
      </c>
      <c r="M164" s="4">
        <f t="shared" si="162"/>
        <v>0.51500418971901762</v>
      </c>
      <c r="N164" s="55">
        <v>-2647819222.08285</v>
      </c>
      <c r="O164" s="53">
        <v>9.5000000000000001E-2</v>
      </c>
      <c r="P164" s="53">
        <v>-3.5000000000000003E-2</v>
      </c>
      <c r="Q164" s="16">
        <f>935956961576+377045361+24646565171+31309457</f>
        <v>961011881565</v>
      </c>
      <c r="R164" s="4">
        <f t="shared" si="163"/>
        <v>-2.5762340233506272E-2</v>
      </c>
      <c r="S164" s="4">
        <f t="shared" si="164"/>
        <v>-7.4564508358422182E-3</v>
      </c>
    </row>
    <row r="165" spans="1:24" x14ac:dyDescent="0.35">
      <c r="A165" s="8">
        <v>163</v>
      </c>
      <c r="B165" s="9"/>
      <c r="C165" s="6">
        <v>2020</v>
      </c>
      <c r="D165" s="16">
        <v>97959313106</v>
      </c>
      <c r="E165" s="16">
        <v>314373402229</v>
      </c>
      <c r="F165" s="16">
        <f t="shared" si="165"/>
        <v>-216414089123</v>
      </c>
      <c r="G165" s="16">
        <v>5949006786510</v>
      </c>
      <c r="H165" s="4">
        <f t="shared" si="159"/>
        <v>-3.9238257797364437E-2</v>
      </c>
      <c r="I165" s="4">
        <f t="shared" si="160"/>
        <v>1.813110133280795E-13</v>
      </c>
      <c r="J165" s="16">
        <v>2968618441357</v>
      </c>
      <c r="K165" s="4">
        <f t="shared" si="161"/>
        <v>0.15091103003449258</v>
      </c>
      <c r="L165" s="16">
        <v>2334405644303</v>
      </c>
      <c r="M165" s="4">
        <f t="shared" si="162"/>
        <v>0.42325345288736527</v>
      </c>
      <c r="N165" s="55">
        <v>-2647819222.08285</v>
      </c>
      <c r="O165" s="53">
        <v>9.5000000000000001E-2</v>
      </c>
      <c r="P165" s="53">
        <v>-3.5000000000000003E-2</v>
      </c>
      <c r="Q165" s="16">
        <f>685120289992+2300558312+30877062397+1537999457</f>
        <v>719835910158</v>
      </c>
      <c r="R165" s="4">
        <f t="shared" si="163"/>
        <v>3.1967448937413739E-3</v>
      </c>
      <c r="S165" s="4">
        <f t="shared" si="164"/>
        <v>-4.2435002691105811E-2</v>
      </c>
    </row>
    <row r="166" spans="1:24" x14ac:dyDescent="0.35">
      <c r="A166" s="8">
        <v>164</v>
      </c>
      <c r="B166" s="9"/>
      <c r="C166" s="6">
        <v>2021</v>
      </c>
      <c r="D166" s="16">
        <v>160934700346</v>
      </c>
      <c r="E166" s="16">
        <v>535295612635</v>
      </c>
      <c r="F166" s="16">
        <f t="shared" si="165"/>
        <v>-374360912289</v>
      </c>
      <c r="G166" s="16">
        <v>6801034778630</v>
      </c>
      <c r="H166" s="4">
        <f t="shared" si="159"/>
        <v>-6.2928304794995837E-2</v>
      </c>
      <c r="I166" s="4">
        <f t="shared" si="160"/>
        <v>1.6809528647161832E-13</v>
      </c>
      <c r="J166" s="16">
        <v>5416331556250</v>
      </c>
      <c r="K166" s="4">
        <f t="shared" si="161"/>
        <v>0.41144903724827603</v>
      </c>
      <c r="L166" s="16">
        <v>2251984214495</v>
      </c>
      <c r="M166" s="4">
        <f t="shared" si="162"/>
        <v>0.37854793166509937</v>
      </c>
      <c r="N166" s="55">
        <v>-2647819222.08285</v>
      </c>
      <c r="O166" s="53">
        <v>9.5000000000000001E-2</v>
      </c>
      <c r="P166" s="53">
        <v>-3.5000000000000003E-2</v>
      </c>
      <c r="Q166" s="16">
        <f>698822979238+7171185531+139763822656+29341221891</f>
        <v>875099209316</v>
      </c>
      <c r="R166" s="4">
        <f t="shared" si="163"/>
        <v>2.2913987268349874E-2</v>
      </c>
      <c r="S166" s="4">
        <f t="shared" si="164"/>
        <v>-8.5842292063345704E-2</v>
      </c>
    </row>
    <row r="167" spans="1:24" x14ac:dyDescent="0.35">
      <c r="A167" s="8">
        <v>165</v>
      </c>
      <c r="B167" s="9"/>
      <c r="C167" s="6">
        <v>2022</v>
      </c>
      <c r="D167" s="16">
        <v>56705805251</v>
      </c>
      <c r="E167" s="16">
        <v>177124125126</v>
      </c>
      <c r="F167" s="16">
        <f t="shared" si="165"/>
        <v>-120418319875</v>
      </c>
      <c r="G167" s="16">
        <v>6956345266754</v>
      </c>
      <c r="H167" s="4">
        <f t="shared" si="159"/>
        <v>-1.7705882089204233E-2</v>
      </c>
      <c r="I167" s="4">
        <f t="shared" si="160"/>
        <v>1.470364485037143E-13</v>
      </c>
      <c r="J167" s="16">
        <v>4526699532441</v>
      </c>
      <c r="K167" s="4">
        <f t="shared" si="161"/>
        <v>-0.13080833325604715</v>
      </c>
      <c r="L167" s="16">
        <v>2002881849097</v>
      </c>
      <c r="M167" s="4">
        <f t="shared" si="162"/>
        <v>0.29449663386377511</v>
      </c>
      <c r="N167" s="55">
        <v>-2647819222.08285</v>
      </c>
      <c r="O167" s="53">
        <v>9.5000000000000001E-2</v>
      </c>
      <c r="P167" s="53">
        <v>-3.5000000000000003E-2</v>
      </c>
      <c r="Q167" s="16">
        <f>344715352244+7401450105+145270612188+8504275347</f>
        <v>505891689884</v>
      </c>
      <c r="R167" s="4">
        <f t="shared" si="163"/>
        <v>-1.7966238349527541E-2</v>
      </c>
      <c r="S167" s="4">
        <f t="shared" si="164"/>
        <v>2.6035626032330783E-4</v>
      </c>
    </row>
    <row r="168" spans="1:24" x14ac:dyDescent="0.35">
      <c r="A168" s="8">
        <v>166</v>
      </c>
      <c r="B168" s="9" t="s">
        <v>71</v>
      </c>
      <c r="C168" s="8">
        <v>2018</v>
      </c>
      <c r="D168" s="15"/>
      <c r="E168" s="15"/>
      <c r="F168" s="16"/>
      <c r="G168" s="16">
        <v>1682821739000</v>
      </c>
      <c r="H168" s="4"/>
      <c r="I168" s="4"/>
      <c r="J168" s="15">
        <v>1699657296000</v>
      </c>
      <c r="K168" s="4"/>
      <c r="L168" s="15">
        <v>394751573000</v>
      </c>
      <c r="M168" s="4"/>
      <c r="N168" s="55">
        <v>-2647819222.08285</v>
      </c>
      <c r="O168" s="53">
        <v>9.5000000000000001E-2</v>
      </c>
      <c r="P168" s="53">
        <v>-3.5000000000000003E-2</v>
      </c>
      <c r="Q168" s="15">
        <f>550099354000+16710786000</f>
        <v>566810140000</v>
      </c>
      <c r="R168" s="4"/>
      <c r="S168" s="4"/>
    </row>
    <row r="169" spans="1:24" x14ac:dyDescent="0.35">
      <c r="A169" s="8">
        <v>167</v>
      </c>
      <c r="B169" s="9"/>
      <c r="C169" s="8">
        <v>2019</v>
      </c>
      <c r="D169" s="16">
        <v>79466786000</v>
      </c>
      <c r="E169" s="16">
        <v>221783249000</v>
      </c>
      <c r="F169" s="16">
        <f t="shared" si="165"/>
        <v>-142316463000</v>
      </c>
      <c r="G169" s="16">
        <v>1829960714000</v>
      </c>
      <c r="H169" s="4">
        <f t="shared" si="159"/>
        <v>-8.4570135803314572E-2</v>
      </c>
      <c r="I169" s="4">
        <f t="shared" si="160"/>
        <v>5.9424000583344025E-13</v>
      </c>
      <c r="J169" s="16">
        <v>1813020278000</v>
      </c>
      <c r="K169" s="4">
        <f t="shared" si="161"/>
        <v>6.7364819084976171E-2</v>
      </c>
      <c r="L169" s="16">
        <v>392923654000</v>
      </c>
      <c r="M169" s="4">
        <f t="shared" si="162"/>
        <v>0.23349095444505663</v>
      </c>
      <c r="N169" s="55">
        <v>-2647819222.08285</v>
      </c>
      <c r="O169" s="53">
        <v>9.5000000000000001E-2</v>
      </c>
      <c r="P169" s="53">
        <v>-3.5000000000000003E-2</v>
      </c>
      <c r="Q169" s="16">
        <f>535208236000+15350927000</f>
        <v>550559163000</v>
      </c>
      <c r="R169" s="4">
        <f t="shared" si="163"/>
        <v>-2.4285525390891401E-3</v>
      </c>
      <c r="S169" s="4">
        <f t="shared" si="164"/>
        <v>-8.2141583264225437E-2</v>
      </c>
    </row>
    <row r="170" spans="1:24" x14ac:dyDescent="0.35">
      <c r="A170" s="8">
        <v>168</v>
      </c>
      <c r="B170" s="9"/>
      <c r="C170" s="6">
        <v>2020</v>
      </c>
      <c r="D170" s="16">
        <v>51996183000</v>
      </c>
      <c r="E170" s="16">
        <v>162072984000</v>
      </c>
      <c r="F170" s="16">
        <f t="shared" si="165"/>
        <v>-110076801000</v>
      </c>
      <c r="G170" s="16">
        <v>1986711872000</v>
      </c>
      <c r="H170" s="4">
        <f t="shared" si="159"/>
        <v>-6.0152548717502141E-2</v>
      </c>
      <c r="I170" s="4">
        <f t="shared" si="160"/>
        <v>5.4645981869969261E-13</v>
      </c>
      <c r="J170" s="16">
        <v>1829699557000</v>
      </c>
      <c r="K170" s="4">
        <f t="shared" si="161"/>
        <v>9.11455577838159E-3</v>
      </c>
      <c r="L170" s="16">
        <v>434473766000</v>
      </c>
      <c r="M170" s="4">
        <f t="shared" si="162"/>
        <v>0.23742245539813267</v>
      </c>
      <c r="N170" s="55">
        <v>-2647819222.08285</v>
      </c>
      <c r="O170" s="53">
        <v>9.5000000000000001E-2</v>
      </c>
      <c r="P170" s="53">
        <v>-3.5000000000000003E-2</v>
      </c>
      <c r="Q170" s="16">
        <f>657841124000+51144081000</f>
        <v>708985205000</v>
      </c>
      <c r="R170" s="4">
        <f t="shared" si="163"/>
        <v>-1.7115309239957188E-2</v>
      </c>
      <c r="S170" s="4">
        <f t="shared" si="164"/>
        <v>-4.3037239477544953E-2</v>
      </c>
    </row>
    <row r="171" spans="1:24" x14ac:dyDescent="0.35">
      <c r="A171" s="8">
        <v>169</v>
      </c>
      <c r="B171" s="9"/>
      <c r="C171" s="6">
        <v>2021</v>
      </c>
      <c r="D171" s="16">
        <v>65005866000</v>
      </c>
      <c r="E171" s="16">
        <v>146505337000</v>
      </c>
      <c r="F171" s="16">
        <f t="shared" si="165"/>
        <v>-81499471000</v>
      </c>
      <c r="G171" s="16">
        <v>2082911322000</v>
      </c>
      <c r="H171" s="4">
        <f t="shared" si="159"/>
        <v>-4.1022290221659277E-2</v>
      </c>
      <c r="I171" s="4">
        <f t="shared" si="160"/>
        <v>5.0334425142046973E-13</v>
      </c>
      <c r="J171" s="16">
        <v>1900893602000</v>
      </c>
      <c r="K171" s="4">
        <f t="shared" si="161"/>
        <v>3.5835113286120233E-2</v>
      </c>
      <c r="L171" s="16">
        <v>400315822000</v>
      </c>
      <c r="M171" s="4">
        <f t="shared" si="162"/>
        <v>0.20149666775635999</v>
      </c>
      <c r="N171" s="55">
        <v>-2647819222.08285</v>
      </c>
      <c r="O171" s="53">
        <v>9.5000000000000001E-2</v>
      </c>
      <c r="P171" s="53">
        <v>-3.5000000000000003E-2</v>
      </c>
      <c r="Q171" s="16">
        <f>438029206000+30383467000</f>
        <v>468412673000</v>
      </c>
      <c r="R171" s="4">
        <f t="shared" si="163"/>
        <v>6.522813904500162E-3</v>
      </c>
      <c r="S171" s="4">
        <f t="shared" si="164"/>
        <v>-4.7545104126159442E-2</v>
      </c>
    </row>
    <row r="172" spans="1:24" x14ac:dyDescent="0.35">
      <c r="A172" s="8">
        <v>170</v>
      </c>
      <c r="B172" s="9"/>
      <c r="C172" s="6">
        <v>2022</v>
      </c>
      <c r="D172" s="16">
        <v>51698206000</v>
      </c>
      <c r="E172" s="16">
        <v>149375011000</v>
      </c>
      <c r="F172" s="16">
        <f t="shared" si="165"/>
        <v>-97676805000</v>
      </c>
      <c r="G172" s="16">
        <v>2009139485000</v>
      </c>
      <c r="H172" s="4">
        <f t="shared" si="159"/>
        <v>-4.689436557779679E-2</v>
      </c>
      <c r="I172" s="4">
        <f t="shared" si="160"/>
        <v>4.8009725111091404E-13</v>
      </c>
      <c r="J172" s="16">
        <v>19170414423</v>
      </c>
      <c r="K172" s="4">
        <f t="shared" si="161"/>
        <v>-0.90341012970738466</v>
      </c>
      <c r="L172" s="16">
        <v>398577346000</v>
      </c>
      <c r="M172" s="4">
        <f t="shared" si="162"/>
        <v>0.19135588816968369</v>
      </c>
      <c r="N172" s="55">
        <v>-2647819222.08285</v>
      </c>
      <c r="O172" s="53">
        <v>9.5000000000000001E-2</v>
      </c>
      <c r="P172" s="53">
        <v>-3.5000000000000003E-2</v>
      </c>
      <c r="Q172" s="16">
        <f>527470246000+28963497000</f>
        <v>556433743000</v>
      </c>
      <c r="R172" s="4">
        <f t="shared" si="163"/>
        <v>-9.7807203144051016E-2</v>
      </c>
      <c r="S172" s="4">
        <f t="shared" si="164"/>
        <v>5.0912837566254227E-2</v>
      </c>
    </row>
    <row r="173" spans="1:24" x14ac:dyDescent="0.35">
      <c r="A173" s="8">
        <v>171</v>
      </c>
      <c r="B173" s="9" t="s">
        <v>72</v>
      </c>
      <c r="C173" s="8">
        <v>2018</v>
      </c>
      <c r="D173" s="15"/>
      <c r="E173" s="15"/>
      <c r="F173" s="16"/>
      <c r="G173" s="16">
        <v>18146206145369</v>
      </c>
      <c r="H173" s="4"/>
      <c r="I173" s="4"/>
      <c r="J173" s="15">
        <v>21074306186027</v>
      </c>
      <c r="K173" s="4"/>
      <c r="L173" s="15">
        <v>6252801150475</v>
      </c>
      <c r="M173" s="4"/>
      <c r="N173" s="55">
        <v>-2647819222.08285</v>
      </c>
      <c r="O173" s="53">
        <v>9.5000000000000001E-2</v>
      </c>
      <c r="P173" s="53">
        <v>-3.5000000000000003E-2</v>
      </c>
      <c r="Q173" s="15">
        <f>3230855504419+24689355369+116632910355+1391500261</f>
        <v>3373569270404</v>
      </c>
      <c r="R173" s="4"/>
      <c r="S173" s="4"/>
    </row>
    <row r="174" spans="1:24" x14ac:dyDescent="0.35">
      <c r="A174" s="8">
        <v>172</v>
      </c>
      <c r="B174" s="9"/>
      <c r="C174" s="8">
        <v>2019</v>
      </c>
      <c r="D174" s="16">
        <v>865015000888</v>
      </c>
      <c r="E174" s="16">
        <v>2537601823645</v>
      </c>
      <c r="F174" s="16">
        <f t="shared" si="165"/>
        <v>-1672586822757</v>
      </c>
      <c r="G174" s="16">
        <v>20264726862584</v>
      </c>
      <c r="H174" s="4">
        <f t="shared" si="159"/>
        <v>-9.217281063369008E-2</v>
      </c>
      <c r="I174" s="4">
        <f t="shared" si="160"/>
        <v>5.5107937823973461E-14</v>
      </c>
      <c r="J174" s="16">
        <v>22633476361038</v>
      </c>
      <c r="K174" s="4">
        <f t="shared" si="161"/>
        <v>8.5922653061500015E-2</v>
      </c>
      <c r="L174" s="16">
        <v>7666314692908</v>
      </c>
      <c r="M174" s="4">
        <f t="shared" si="162"/>
        <v>0.42247479343578825</v>
      </c>
      <c r="N174" s="55">
        <v>-2647819222.08285</v>
      </c>
      <c r="O174" s="53">
        <v>9.5000000000000001E-2</v>
      </c>
      <c r="P174" s="53">
        <v>-3.5000000000000003E-2</v>
      </c>
      <c r="Q174" s="16">
        <f>3531177696227+41677083452+122554254390+2251088014</f>
        <v>3697660122083</v>
      </c>
      <c r="R174" s="4">
        <f t="shared" si="163"/>
        <v>-8.4665795443160229E-3</v>
      </c>
      <c r="S174" s="4">
        <f t="shared" si="164"/>
        <v>-8.3706231089374056E-2</v>
      </c>
    </row>
    <row r="175" spans="1:24" x14ac:dyDescent="0.35">
      <c r="A175" s="8">
        <v>173</v>
      </c>
      <c r="B175" s="9"/>
      <c r="C175" s="6">
        <v>2020</v>
      </c>
      <c r="D175" s="16">
        <v>828010058930</v>
      </c>
      <c r="E175" s="16">
        <v>2799622515814</v>
      </c>
      <c r="F175" s="16">
        <f t="shared" si="165"/>
        <v>-1971612456884</v>
      </c>
      <c r="G175" s="16">
        <v>22564300317374</v>
      </c>
      <c r="H175" s="4">
        <f t="shared" si="159"/>
        <v>-9.7292821672534266E-2</v>
      </c>
      <c r="I175" s="4">
        <f t="shared" si="160"/>
        <v>4.9346828446346395E-14</v>
      </c>
      <c r="J175" s="16">
        <v>23112654991224</v>
      </c>
      <c r="K175" s="4">
        <f t="shared" si="161"/>
        <v>2.3645945658943804E-2</v>
      </c>
      <c r="L175" s="16">
        <v>8157762093280</v>
      </c>
      <c r="M175" s="4">
        <f t="shared" si="162"/>
        <v>0.40255968652319579</v>
      </c>
      <c r="N175" s="55">
        <v>-2647819222.08285</v>
      </c>
      <c r="O175" s="53">
        <v>9.5000000000000001E-2</v>
      </c>
      <c r="P175" s="53">
        <v>-3.5000000000000003E-2</v>
      </c>
      <c r="Q175" s="16">
        <f>3434046805672+43173956944+117192728121+513186951</f>
        <v>3594926677688</v>
      </c>
      <c r="R175" s="4">
        <f t="shared" si="163"/>
        <v>-1.1492276554276332E-2</v>
      </c>
      <c r="S175" s="4">
        <f t="shared" si="164"/>
        <v>-8.5800545118257937E-2</v>
      </c>
    </row>
    <row r="176" spans="1:24" x14ac:dyDescent="0.35">
      <c r="A176" s="8">
        <v>174</v>
      </c>
      <c r="B176" s="9"/>
      <c r="C176" s="6">
        <v>2021</v>
      </c>
      <c r="D176" s="16">
        <v>911256951493</v>
      </c>
      <c r="E176" s="16">
        <v>3232007683281</v>
      </c>
      <c r="F176" s="16">
        <f t="shared" si="165"/>
        <v>-2320750731788</v>
      </c>
      <c r="G176" s="16">
        <v>25666635156271</v>
      </c>
      <c r="H176" s="4">
        <f t="shared" si="159"/>
        <v>-0.10285055149709538</v>
      </c>
      <c r="I176" s="4">
        <f t="shared" si="160"/>
        <v>4.4317793414140244E-14</v>
      </c>
      <c r="J176" s="16">
        <v>26261194512313</v>
      </c>
      <c r="K176" s="4">
        <f t="shared" si="161"/>
        <v>0.13953632405187835</v>
      </c>
      <c r="L176" s="16">
        <v>7994022263626</v>
      </c>
      <c r="M176" s="4">
        <f t="shared" si="162"/>
        <v>0.35427742722741479</v>
      </c>
      <c r="N176" s="55">
        <v>-2647819222.08285</v>
      </c>
      <c r="O176" s="53">
        <v>9.5000000000000001E-2</v>
      </c>
      <c r="P176" s="53">
        <v>-3.5000000000000003E-2</v>
      </c>
      <c r="Q176" s="16">
        <f>3393979130305+37038968908+111750182966+2374373433</f>
        <v>3545142655612</v>
      </c>
      <c r="R176" s="4">
        <f t="shared" si="163"/>
        <v>9.4849553722713836E-4</v>
      </c>
      <c r="S176" s="4">
        <f t="shared" si="164"/>
        <v>-0.10379904703432252</v>
      </c>
    </row>
    <row r="177" spans="1:19" x14ac:dyDescent="0.35">
      <c r="A177" s="8">
        <v>175</v>
      </c>
      <c r="B177" s="9"/>
      <c r="C177" s="6">
        <v>2022</v>
      </c>
      <c r="D177" s="16">
        <v>1008813493059</v>
      </c>
      <c r="E177" s="16">
        <v>3450083412291</v>
      </c>
      <c r="F177" s="16">
        <f t="shared" si="165"/>
        <v>-2441269919232</v>
      </c>
      <c r="G177" s="16">
        <v>27241313025674</v>
      </c>
      <c r="H177" s="4">
        <f t="shared" si="159"/>
        <v>-9.5114529207601911E-2</v>
      </c>
      <c r="I177" s="4">
        <f t="shared" si="160"/>
        <v>3.896108679269846E-14</v>
      </c>
      <c r="J177" s="16">
        <v>28933502646719</v>
      </c>
      <c r="K177" s="4">
        <f t="shared" si="161"/>
        <v>0.10411602916142626</v>
      </c>
      <c r="L177" s="16">
        <v>7956585670346</v>
      </c>
      <c r="M177" s="4">
        <f t="shared" si="162"/>
        <v>0.30999722487589138</v>
      </c>
      <c r="N177" s="55">
        <v>-2647819222.08285</v>
      </c>
      <c r="O177" s="53">
        <v>9.5000000000000001E-2</v>
      </c>
      <c r="P177" s="53">
        <v>-3.5000000000000003E-2</v>
      </c>
      <c r="Q177" s="16">
        <f>172018252804+43553624672+4570069376653+2126552954</f>
        <v>4787767807083</v>
      </c>
      <c r="R177" s="4">
        <f t="shared" si="163"/>
        <v>-5.6613745206825616E-3</v>
      </c>
      <c r="S177" s="4">
        <f t="shared" si="164"/>
        <v>-8.9453154686919348E-2</v>
      </c>
    </row>
    <row r="178" spans="1:19" x14ac:dyDescent="0.35">
      <c r="A178" s="8">
        <v>176</v>
      </c>
      <c r="B178" s="9" t="s">
        <v>73</v>
      </c>
      <c r="C178" s="8">
        <v>2018</v>
      </c>
      <c r="D178" s="15"/>
      <c r="E178" s="15"/>
      <c r="F178" s="16"/>
      <c r="G178" s="16">
        <v>1263113689000</v>
      </c>
      <c r="H178" s="4"/>
      <c r="I178" s="4"/>
      <c r="J178" s="15">
        <v>611958076000</v>
      </c>
      <c r="K178" s="4"/>
      <c r="L178" s="15">
        <v>186743248000</v>
      </c>
      <c r="M178" s="4"/>
      <c r="N178" s="55">
        <v>-2647819222.08285</v>
      </c>
      <c r="O178" s="53">
        <v>9.5000000000000001E-2</v>
      </c>
      <c r="P178" s="53">
        <v>-3.5000000000000003E-2</v>
      </c>
      <c r="Q178" s="15">
        <f>157583605000+137618246000</f>
        <v>295201851000</v>
      </c>
      <c r="R178" s="4"/>
      <c r="S178" s="4"/>
    </row>
    <row r="179" spans="1:19" x14ac:dyDescent="0.35">
      <c r="A179" s="8">
        <v>177</v>
      </c>
      <c r="B179" s="9"/>
      <c r="C179" s="8">
        <v>2019</v>
      </c>
      <c r="D179" s="16">
        <v>47642385000</v>
      </c>
      <c r="E179" s="16">
        <v>78256797000</v>
      </c>
      <c r="F179" s="16">
        <f t="shared" si="165"/>
        <v>-30614412000</v>
      </c>
      <c r="G179" s="16">
        <v>901060986000</v>
      </c>
      <c r="H179" s="4">
        <f t="shared" si="159"/>
        <v>-2.4237257712120323E-2</v>
      </c>
      <c r="I179" s="4">
        <f t="shared" si="160"/>
        <v>7.916943729678794E-13</v>
      </c>
      <c r="J179" s="16">
        <v>744634530000</v>
      </c>
      <c r="K179" s="4">
        <f t="shared" si="161"/>
        <v>0.10503920205713169</v>
      </c>
      <c r="L179" s="16">
        <v>190284730000</v>
      </c>
      <c r="M179" s="4">
        <f t="shared" si="162"/>
        <v>0.15064735000271223</v>
      </c>
      <c r="N179" s="55">
        <v>-2647819222.08285</v>
      </c>
      <c r="O179" s="53">
        <v>9.5000000000000001E-2</v>
      </c>
      <c r="P179" s="53">
        <v>-3.5000000000000003E-2</v>
      </c>
      <c r="Q179" s="16">
        <f>233134670000+12451188000+31163379000</f>
        <v>276749237000</v>
      </c>
      <c r="R179" s="4">
        <f t="shared" si="163"/>
        <v>3.9976422802564917E-3</v>
      </c>
      <c r="S179" s="4">
        <f t="shared" si="164"/>
        <v>-2.8234899992376813E-2</v>
      </c>
    </row>
    <row r="180" spans="1:19" x14ac:dyDescent="0.35">
      <c r="A180" s="8">
        <v>178</v>
      </c>
      <c r="B180" s="9"/>
      <c r="C180" s="6">
        <v>2020</v>
      </c>
      <c r="D180" s="16">
        <v>34097597000</v>
      </c>
      <c r="E180" s="16">
        <v>71902263000</v>
      </c>
      <c r="F180" s="16">
        <f t="shared" si="165"/>
        <v>-37804666000</v>
      </c>
      <c r="G180" s="16">
        <v>929901046000</v>
      </c>
      <c r="H180" s="4">
        <f t="shared" si="159"/>
        <v>-4.1955723960286968E-2</v>
      </c>
      <c r="I180" s="4">
        <f t="shared" si="160"/>
        <v>1.1098027941917797E-12</v>
      </c>
      <c r="J180" s="16">
        <v>655847125000</v>
      </c>
      <c r="K180" s="4">
        <f t="shared" si="161"/>
        <v>-9.8536510158037188E-2</v>
      </c>
      <c r="L180" s="16">
        <v>217560166000</v>
      </c>
      <c r="M180" s="4">
        <f t="shared" si="162"/>
        <v>0.24144888013162741</v>
      </c>
      <c r="N180" s="55">
        <v>-2647819222.08285</v>
      </c>
      <c r="O180" s="53">
        <v>9.5000000000000001E-2</v>
      </c>
      <c r="P180" s="53">
        <v>-3.5000000000000003E-2</v>
      </c>
      <c r="Q180" s="16">
        <f>161827534000+43810620000</f>
        <v>205638154000</v>
      </c>
      <c r="R180" s="4">
        <f t="shared" si="163"/>
        <v>-1.3252904972719404E-2</v>
      </c>
      <c r="S180" s="4">
        <f t="shared" si="164"/>
        <v>-2.8702818987567564E-2</v>
      </c>
    </row>
    <row r="181" spans="1:19" x14ac:dyDescent="0.35">
      <c r="A181" s="8">
        <v>179</v>
      </c>
      <c r="B181" s="9"/>
      <c r="C181" s="6">
        <v>2021</v>
      </c>
      <c r="D181" s="16">
        <v>58838742000</v>
      </c>
      <c r="E181" s="16">
        <v>131660834000</v>
      </c>
      <c r="F181" s="16">
        <f t="shared" si="165"/>
        <v>-72822092000</v>
      </c>
      <c r="G181" s="16">
        <v>1026266866000</v>
      </c>
      <c r="H181" s="4">
        <f t="shared" si="159"/>
        <v>-7.831165725992742E-2</v>
      </c>
      <c r="I181" s="4">
        <f t="shared" si="160"/>
        <v>1.0753832402937204E-12</v>
      </c>
      <c r="J181" s="16">
        <v>1064394815000</v>
      </c>
      <c r="K181" s="4">
        <f t="shared" si="161"/>
        <v>0.43934533868671444</v>
      </c>
      <c r="L181" s="16">
        <v>232664347000</v>
      </c>
      <c r="M181" s="4">
        <f t="shared" si="162"/>
        <v>0.25020333937768258</v>
      </c>
      <c r="N181" s="55">
        <v>-2647819222.08285</v>
      </c>
      <c r="O181" s="53">
        <v>9.5000000000000001E-2</v>
      </c>
      <c r="P181" s="53">
        <v>-3.5000000000000003E-2</v>
      </c>
      <c r="Q181" s="16">
        <f>54398350000+201660692000+93843000+26635884000</f>
        <v>282788769000</v>
      </c>
      <c r="R181" s="4">
        <f t="shared" si="163"/>
        <v>2.2251454439074961E-2</v>
      </c>
      <c r="S181" s="4">
        <f t="shared" si="164"/>
        <v>-0.10056311169900238</v>
      </c>
    </row>
    <row r="182" spans="1:19" x14ac:dyDescent="0.35">
      <c r="A182" s="8">
        <v>180</v>
      </c>
      <c r="B182" s="9"/>
      <c r="C182" s="6">
        <v>2022</v>
      </c>
      <c r="D182" s="16">
        <v>57940610000</v>
      </c>
      <c r="E182" s="16">
        <v>179837759000</v>
      </c>
      <c r="F182" s="16">
        <f t="shared" si="165"/>
        <v>-121897149000</v>
      </c>
      <c r="G182" s="16">
        <v>1037647240000</v>
      </c>
      <c r="H182" s="4">
        <f t="shared" si="159"/>
        <v>-0.11877724307236866</v>
      </c>
      <c r="I182" s="4">
        <f t="shared" si="160"/>
        <v>9.7440542331608309E-13</v>
      </c>
      <c r="J182" s="16">
        <v>1124599738000</v>
      </c>
      <c r="K182" s="4">
        <f t="shared" si="161"/>
        <v>5.8664003481527192E-2</v>
      </c>
      <c r="L182" s="16">
        <v>218547031000</v>
      </c>
      <c r="M182" s="4">
        <f t="shared" si="162"/>
        <v>0.21295341225602815</v>
      </c>
      <c r="N182" s="55">
        <v>-2647819222.08285</v>
      </c>
      <c r="O182" s="53">
        <v>9.5000000000000001E-2</v>
      </c>
      <c r="P182" s="53">
        <v>-3.5000000000000003E-2</v>
      </c>
      <c r="Q182" s="16">
        <f>79614740000+136556211000+8823000+22672098000</f>
        <v>238851872000</v>
      </c>
      <c r="R182" s="4">
        <f t="shared" si="163"/>
        <v>-3.9316518972839012E-4</v>
      </c>
      <c r="S182" s="4">
        <f t="shared" si="164"/>
        <v>-0.11838407788264027</v>
      </c>
    </row>
    <row r="183" spans="1:19" x14ac:dyDescent="0.35">
      <c r="A183" s="8">
        <v>181</v>
      </c>
      <c r="B183" s="9" t="s">
        <v>74</v>
      </c>
      <c r="C183" s="8">
        <v>2018</v>
      </c>
      <c r="D183" s="15"/>
      <c r="E183" s="15"/>
      <c r="F183" s="16"/>
      <c r="G183" s="16">
        <v>1868663546000</v>
      </c>
      <c r="H183" s="4"/>
      <c r="I183" s="4"/>
      <c r="J183" s="15">
        <v>1022969624000</v>
      </c>
      <c r="K183" s="4"/>
      <c r="L183" s="15">
        <v>621466518000</v>
      </c>
      <c r="M183" s="4"/>
      <c r="N183" s="55">
        <v>-2647819222.08285</v>
      </c>
      <c r="O183" s="53">
        <v>9.5000000000000001E-2</v>
      </c>
      <c r="P183" s="53">
        <v>-3.5000000000000003E-2</v>
      </c>
      <c r="Q183" s="15">
        <f>452420432000+18933807000</f>
        <v>471354239000</v>
      </c>
      <c r="R183" s="4"/>
      <c r="S183" s="4"/>
    </row>
    <row r="184" spans="1:19" x14ac:dyDescent="0.35">
      <c r="A184" s="8">
        <v>182</v>
      </c>
      <c r="B184" s="9"/>
      <c r="C184" s="8">
        <v>2019</v>
      </c>
      <c r="D184" s="16">
        <v>27346391000</v>
      </c>
      <c r="E184" s="16">
        <v>102310124000</v>
      </c>
      <c r="F184" s="16">
        <f t="shared" si="165"/>
        <v>-74963733000</v>
      </c>
      <c r="G184" s="16">
        <v>2096719180000</v>
      </c>
      <c r="H184" s="4">
        <f t="shared" si="159"/>
        <v>-4.0116228071374813E-2</v>
      </c>
      <c r="I184" s="4">
        <f t="shared" si="160"/>
        <v>5.3514181412730359E-13</v>
      </c>
      <c r="J184" s="16">
        <v>1105420197000</v>
      </c>
      <c r="K184" s="4">
        <f t="shared" si="161"/>
        <v>4.4122749211055676E-2</v>
      </c>
      <c r="L184" s="16">
        <v>644245638000</v>
      </c>
      <c r="M184" s="4">
        <f t="shared" si="162"/>
        <v>0.34476277946292211</v>
      </c>
      <c r="N184" s="55">
        <v>-2647819222.08285</v>
      </c>
      <c r="O184" s="53">
        <v>9.5000000000000001E-2</v>
      </c>
      <c r="P184" s="53">
        <v>-3.5000000000000003E-2</v>
      </c>
      <c r="Q184" s="16">
        <f>562495852000+29797348000</f>
        <v>592293200000</v>
      </c>
      <c r="R184" s="4">
        <f t="shared" si="163"/>
        <v>-1.5440346912018614E-2</v>
      </c>
      <c r="S184" s="4">
        <f t="shared" si="164"/>
        <v>-2.4675881159356199E-2</v>
      </c>
    </row>
    <row r="185" spans="1:19" x14ac:dyDescent="0.35">
      <c r="A185" s="8">
        <v>183</v>
      </c>
      <c r="B185" s="9"/>
      <c r="C185" s="6">
        <v>2020</v>
      </c>
      <c r="D185" s="16">
        <v>15418230000</v>
      </c>
      <c r="E185" s="16">
        <v>48665149000</v>
      </c>
      <c r="F185" s="16">
        <f t="shared" si="165"/>
        <v>-33246919000</v>
      </c>
      <c r="G185" s="16">
        <v>1915989375000</v>
      </c>
      <c r="H185" s="4">
        <f t="shared" si="159"/>
        <v>-1.5856638941987453E-2</v>
      </c>
      <c r="I185" s="4">
        <f t="shared" si="160"/>
        <v>4.7693559039222415E-13</v>
      </c>
      <c r="J185" s="16">
        <v>980556653000</v>
      </c>
      <c r="K185" s="4">
        <f t="shared" si="161"/>
        <v>-5.9551868076105449E-2</v>
      </c>
      <c r="L185" s="16">
        <v>650651970000</v>
      </c>
      <c r="M185" s="4">
        <f t="shared" si="162"/>
        <v>0.31031908145181369</v>
      </c>
      <c r="N185" s="55">
        <v>-2647819222.08285</v>
      </c>
      <c r="O185" s="53">
        <v>9.5000000000000001E-2</v>
      </c>
      <c r="P185" s="53">
        <v>-3.5000000000000003E-2</v>
      </c>
      <c r="Q185" s="16">
        <f>437697446000+18782376000</f>
        <v>456479822000</v>
      </c>
      <c r="R185" s="4">
        <f t="shared" si="163"/>
        <v>-1.1627882348118193E-2</v>
      </c>
      <c r="S185" s="4">
        <f t="shared" si="164"/>
        <v>-4.2287565938692595E-3</v>
      </c>
    </row>
    <row r="186" spans="1:19" x14ac:dyDescent="0.35">
      <c r="A186" s="8">
        <v>184</v>
      </c>
      <c r="B186" s="9"/>
      <c r="C186" s="6">
        <v>2021</v>
      </c>
      <c r="D186" s="16">
        <v>1595144000</v>
      </c>
      <c r="E186" s="16">
        <v>11296951000</v>
      </c>
      <c r="F186" s="16">
        <f t="shared" si="165"/>
        <v>-9701807000</v>
      </c>
      <c r="G186" s="16">
        <v>1838539299000</v>
      </c>
      <c r="H186" s="4">
        <f t="shared" si="159"/>
        <v>-5.063601670546842E-3</v>
      </c>
      <c r="I186" s="4">
        <f t="shared" si="160"/>
        <v>5.2192356233708237E-13</v>
      </c>
      <c r="J186" s="16">
        <v>1051444342000</v>
      </c>
      <c r="K186" s="4">
        <f t="shared" si="161"/>
        <v>3.6997955168723208E-2</v>
      </c>
      <c r="L186" s="16">
        <v>615906581000</v>
      </c>
      <c r="M186" s="4">
        <f t="shared" si="162"/>
        <v>0.32145615682237277</v>
      </c>
      <c r="N186" s="55">
        <v>-2647819222.08285</v>
      </c>
      <c r="O186" s="53">
        <v>9.5000000000000001E-2</v>
      </c>
      <c r="P186" s="53">
        <v>-3.5000000000000003E-2</v>
      </c>
      <c r="Q186" s="16">
        <f>410932187000+28269785000+1107494000</f>
        <v>440309466000</v>
      </c>
      <c r="R186" s="4">
        <f t="shared" si="163"/>
        <v>-8.31634845682944E-3</v>
      </c>
      <c r="S186" s="4">
        <f t="shared" si="164"/>
        <v>3.252746786282598E-3</v>
      </c>
    </row>
    <row r="187" spans="1:19" x14ac:dyDescent="0.35">
      <c r="A187" s="8">
        <v>185</v>
      </c>
      <c r="B187" s="9"/>
      <c r="C187" s="6">
        <v>2022</v>
      </c>
      <c r="D187" s="16">
        <v>14106863000</v>
      </c>
      <c r="E187" s="16">
        <v>27395254000</v>
      </c>
      <c r="F187" s="16">
        <f t="shared" si="165"/>
        <v>-13288391000</v>
      </c>
      <c r="G187" s="16">
        <v>1806280965000</v>
      </c>
      <c r="H187" s="4">
        <f t="shared" si="159"/>
        <v>-7.2276893984413006E-3</v>
      </c>
      <c r="I187" s="4">
        <f t="shared" si="160"/>
        <v>5.4391004888713015E-13</v>
      </c>
      <c r="J187" s="16">
        <v>1168474434000</v>
      </c>
      <c r="K187" s="4">
        <f t="shared" si="161"/>
        <v>6.3653843060985343E-2</v>
      </c>
      <c r="L187" s="16">
        <v>582904111000</v>
      </c>
      <c r="M187" s="4">
        <f t="shared" si="162"/>
        <v>0.31704740351051913</v>
      </c>
      <c r="N187" s="55">
        <v>-2647819222.08285</v>
      </c>
      <c r="O187" s="53">
        <v>9.5000000000000001E-2</v>
      </c>
      <c r="P187" s="53">
        <v>-3.5000000000000003E-2</v>
      </c>
      <c r="Q187" s="16">
        <f>419760142000+30823597000+18926057000</f>
        <v>469509796000</v>
      </c>
      <c r="R187" s="4">
        <f t="shared" si="163"/>
        <v>-7.9985430417948613E-3</v>
      </c>
      <c r="S187" s="4">
        <f t="shared" si="164"/>
        <v>7.7085364335356069E-4</v>
      </c>
    </row>
    <row r="188" spans="1:19" x14ac:dyDescent="0.35">
      <c r="A188" s="8">
        <v>186</v>
      </c>
      <c r="B188" s="9" t="s">
        <v>75</v>
      </c>
      <c r="C188" s="8">
        <v>2018</v>
      </c>
      <c r="D188" s="15"/>
      <c r="E188" s="15"/>
      <c r="F188" s="16"/>
      <c r="G188" s="16">
        <v>187057163854</v>
      </c>
      <c r="H188" s="4"/>
      <c r="I188" s="4"/>
      <c r="J188" s="15">
        <v>250445853364</v>
      </c>
      <c r="K188" s="4"/>
      <c r="L188" s="15">
        <v>90377679595</v>
      </c>
      <c r="M188" s="4"/>
      <c r="N188" s="55">
        <v>-2647819222.08285</v>
      </c>
      <c r="O188" s="53">
        <v>9.5000000000000001E-2</v>
      </c>
      <c r="P188" s="53">
        <v>-3.5000000000000003E-2</v>
      </c>
      <c r="Q188" s="15">
        <v>42692622386</v>
      </c>
      <c r="R188" s="4"/>
      <c r="S188" s="4"/>
    </row>
    <row r="189" spans="1:19" x14ac:dyDescent="0.35">
      <c r="A189" s="8">
        <v>187</v>
      </c>
      <c r="B189" s="9"/>
      <c r="C189" s="8">
        <v>2019</v>
      </c>
      <c r="D189" s="16">
        <v>3176104438</v>
      </c>
      <c r="E189" s="16">
        <v>9342718039</v>
      </c>
      <c r="F189" s="16">
        <f t="shared" si="165"/>
        <v>-6166613601</v>
      </c>
      <c r="G189" s="16">
        <v>190786208250</v>
      </c>
      <c r="H189" s="4">
        <f t="shared" si="159"/>
        <v>-3.2966465832942403E-2</v>
      </c>
      <c r="I189" s="4">
        <f t="shared" si="160"/>
        <v>5.3459593815958316E-12</v>
      </c>
      <c r="J189" s="16">
        <v>247114772587</v>
      </c>
      <c r="K189" s="4">
        <f t="shared" si="161"/>
        <v>-1.7807822530656683E-2</v>
      </c>
      <c r="L189" s="16">
        <v>88397889858</v>
      </c>
      <c r="M189" s="4">
        <f t="shared" si="162"/>
        <v>0.47257152859965013</v>
      </c>
      <c r="N189" s="55">
        <v>-2647819222.08285</v>
      </c>
      <c r="O189" s="53">
        <v>9.5000000000000001E-2</v>
      </c>
      <c r="P189" s="53">
        <v>-3.5000000000000003E-2</v>
      </c>
      <c r="Q189" s="16">
        <f>41551408067+413599187</f>
        <v>41965007254</v>
      </c>
      <c r="R189" s="4">
        <f t="shared" si="163"/>
        <v>-3.2017349563058614E-2</v>
      </c>
      <c r="S189" s="4">
        <f t="shared" si="164"/>
        <v>-9.4911626988378878E-4</v>
      </c>
    </row>
    <row r="190" spans="1:19" x14ac:dyDescent="0.35">
      <c r="A190" s="8">
        <v>188</v>
      </c>
      <c r="B190" s="9"/>
      <c r="C190" s="6">
        <v>2020</v>
      </c>
      <c r="D190" s="16">
        <v>7537844514</v>
      </c>
      <c r="E190" s="16">
        <v>22104364267</v>
      </c>
      <c r="F190" s="16">
        <f t="shared" si="165"/>
        <v>-14566519753</v>
      </c>
      <c r="G190" s="16">
        <v>228575380866</v>
      </c>
      <c r="H190" s="4">
        <f t="shared" si="159"/>
        <v>-7.6349962015663672E-2</v>
      </c>
      <c r="I190" s="4">
        <f t="shared" si="160"/>
        <v>5.2414690200752495E-12</v>
      </c>
      <c r="J190" s="16">
        <v>277398061739</v>
      </c>
      <c r="K190" s="4">
        <f t="shared" si="161"/>
        <v>0.15872892191618887</v>
      </c>
      <c r="L190" s="16">
        <v>84564914050</v>
      </c>
      <c r="M190" s="4">
        <f t="shared" si="162"/>
        <v>0.44324437717840121</v>
      </c>
      <c r="N190" s="55">
        <v>-2647819222.08285</v>
      </c>
      <c r="O190" s="53">
        <v>9.5000000000000001E-2</v>
      </c>
      <c r="P190" s="53">
        <v>-3.5000000000000003E-2</v>
      </c>
      <c r="Q190" s="16">
        <f>59304207665+1029653680</f>
        <v>60333861345</v>
      </c>
      <c r="R190" s="4">
        <f t="shared" si="163"/>
        <v>-2.345934710947771E-2</v>
      </c>
      <c r="S190" s="4">
        <f t="shared" si="164"/>
        <v>-5.2890614906185962E-2</v>
      </c>
    </row>
    <row r="191" spans="1:19" x14ac:dyDescent="0.35">
      <c r="A191" s="8">
        <v>189</v>
      </c>
      <c r="B191" s="9"/>
      <c r="C191" s="6">
        <v>2021</v>
      </c>
      <c r="D191" s="16">
        <v>3332378515</v>
      </c>
      <c r="E191" s="16">
        <v>5478952440</v>
      </c>
      <c r="F191" s="16">
        <f t="shared" si="165"/>
        <v>-2146573925</v>
      </c>
      <c r="G191" s="16">
        <v>806221575272</v>
      </c>
      <c r="H191" s="4">
        <f t="shared" si="159"/>
        <v>-9.3910985376785047E-3</v>
      </c>
      <c r="I191" s="4">
        <f t="shared" si="160"/>
        <v>4.3749243519197717E-12</v>
      </c>
      <c r="J191" s="16">
        <v>630530235961</v>
      </c>
      <c r="K191" s="4">
        <f t="shared" si="161"/>
        <v>1.5449265484502033</v>
      </c>
      <c r="L191" s="16">
        <v>370454157198</v>
      </c>
      <c r="M191" s="4">
        <f t="shared" si="162"/>
        <v>1.6207089135954453</v>
      </c>
      <c r="N191" s="55">
        <v>-2647819222.08285</v>
      </c>
      <c r="O191" s="53">
        <v>9.5000000000000001E-2</v>
      </c>
      <c r="P191" s="53">
        <v>-3.5000000000000003E-2</v>
      </c>
      <c r="Q191" s="16">
        <f>94126483359+6864730849</f>
        <v>100991214208</v>
      </c>
      <c r="R191" s="4">
        <f t="shared" si="163"/>
        <v>6.1561281235888485E-2</v>
      </c>
      <c r="S191" s="4">
        <f t="shared" si="164"/>
        <v>-7.0952379773566984E-2</v>
      </c>
    </row>
    <row r="192" spans="1:19" x14ac:dyDescent="0.35">
      <c r="A192" s="8">
        <v>190</v>
      </c>
      <c r="B192" s="9"/>
      <c r="C192" s="6">
        <v>2022</v>
      </c>
      <c r="D192" s="16">
        <v>123391910255</v>
      </c>
      <c r="E192" s="16">
        <v>275472011358</v>
      </c>
      <c r="F192" s="16">
        <f t="shared" si="165"/>
        <v>-152080101103</v>
      </c>
      <c r="G192" s="16">
        <v>1520568653644</v>
      </c>
      <c r="H192" s="4">
        <f t="shared" si="159"/>
        <v>-0.18863313233919818</v>
      </c>
      <c r="I192" s="4">
        <f t="shared" si="160"/>
        <v>1.2403538067839772E-12</v>
      </c>
      <c r="J192" s="16">
        <v>751425027099</v>
      </c>
      <c r="K192" s="4">
        <f t="shared" si="161"/>
        <v>0.14995231440837212</v>
      </c>
      <c r="L192" s="16">
        <v>833453284585</v>
      </c>
      <c r="M192" s="4">
        <f t="shared" si="162"/>
        <v>1.0337769543116142</v>
      </c>
      <c r="N192" s="55">
        <v>-2647819222.08285</v>
      </c>
      <c r="O192" s="53">
        <v>9.5000000000000001E-2</v>
      </c>
      <c r="P192" s="53">
        <v>-3.5000000000000003E-2</v>
      </c>
      <c r="Q192" s="16">
        <f>148947620271+2807430175</f>
        <v>151755050446</v>
      </c>
      <c r="R192" s="4">
        <f t="shared" si="163"/>
        <v>-3.1202642348749764E-2</v>
      </c>
      <c r="S192" s="4">
        <f t="shared" si="164"/>
        <v>-0.15743048999044842</v>
      </c>
    </row>
    <row r="193" spans="1:19" x14ac:dyDescent="0.35">
      <c r="A193" s="8">
        <v>191</v>
      </c>
      <c r="B193" s="9" t="s">
        <v>76</v>
      </c>
      <c r="C193" s="8">
        <v>2018</v>
      </c>
      <c r="D193" s="15"/>
      <c r="E193" s="15"/>
      <c r="F193" s="16"/>
      <c r="G193" s="16">
        <v>3337628000000</v>
      </c>
      <c r="H193" s="4"/>
      <c r="I193" s="4"/>
      <c r="J193" s="15">
        <v>2763292000000</v>
      </c>
      <c r="K193" s="4"/>
      <c r="L193" s="15">
        <v>1553362000000</v>
      </c>
      <c r="M193" s="4"/>
      <c r="N193" s="55">
        <v>-2647819222.08285</v>
      </c>
      <c r="O193" s="53">
        <v>9.5000000000000001E-2</v>
      </c>
      <c r="P193" s="53">
        <v>-3.5000000000000003E-2</v>
      </c>
      <c r="Q193" s="15">
        <f>229662000000+180189000000+5947000000</f>
        <v>415798000000</v>
      </c>
      <c r="R193" s="4"/>
      <c r="S193" s="4"/>
    </row>
    <row r="194" spans="1:19" x14ac:dyDescent="0.35">
      <c r="A194" s="8">
        <v>192</v>
      </c>
      <c r="B194" s="9"/>
      <c r="C194" s="8">
        <v>2019</v>
      </c>
      <c r="D194" s="16">
        <v>266146000000</v>
      </c>
      <c r="E194" s="16">
        <v>807689000000</v>
      </c>
      <c r="F194" s="16">
        <f t="shared" si="165"/>
        <v>-541543000000</v>
      </c>
      <c r="G194" s="16">
        <v>3536898000000</v>
      </c>
      <c r="H194" s="4">
        <f t="shared" si="159"/>
        <v>-0.1622538521369068</v>
      </c>
      <c r="I194" s="4">
        <f t="shared" si="160"/>
        <v>2.9961397735158022E-13</v>
      </c>
      <c r="J194" s="16">
        <v>3067434000000</v>
      </c>
      <c r="K194" s="4">
        <f t="shared" si="161"/>
        <v>9.1125194299664314E-2</v>
      </c>
      <c r="L194" s="16">
        <v>1593059000000</v>
      </c>
      <c r="M194" s="4">
        <f t="shared" si="162"/>
        <v>0.47730274314573107</v>
      </c>
      <c r="N194" s="55">
        <v>-2647819222.08285</v>
      </c>
      <c r="O194" s="53">
        <v>9.5000000000000001E-2</v>
      </c>
      <c r="P194" s="53">
        <v>-3.5000000000000003E-2</v>
      </c>
      <c r="Q194" s="16">
        <f>269281000000+260124000000+7699000000</f>
        <v>537104000000</v>
      </c>
      <c r="R194" s="4">
        <f t="shared" si="163"/>
        <v>-1.2294798648046716E-2</v>
      </c>
      <c r="S194" s="4">
        <f t="shared" si="164"/>
        <v>-0.14995905348886007</v>
      </c>
    </row>
    <row r="195" spans="1:19" x14ac:dyDescent="0.35">
      <c r="A195" s="8">
        <v>193</v>
      </c>
      <c r="B195" s="9"/>
      <c r="C195" s="6">
        <v>2020</v>
      </c>
      <c r="D195" s="16">
        <v>265532000000</v>
      </c>
      <c r="E195" s="16">
        <v>934016000000</v>
      </c>
      <c r="F195" s="16">
        <f t="shared" si="165"/>
        <v>-668484000000</v>
      </c>
      <c r="G195" s="16">
        <v>3849516000000</v>
      </c>
      <c r="H195" s="4">
        <f t="shared" si="159"/>
        <v>-0.18900290593621868</v>
      </c>
      <c r="I195" s="4">
        <f t="shared" si="160"/>
        <v>2.8273362703702507E-13</v>
      </c>
      <c r="J195" s="16">
        <v>3335411000000</v>
      </c>
      <c r="K195" s="4">
        <f t="shared" si="161"/>
        <v>7.5766109172500873E-2</v>
      </c>
      <c r="L195" s="16">
        <v>1568264000000</v>
      </c>
      <c r="M195" s="4">
        <f t="shared" si="162"/>
        <v>0.44340096887159314</v>
      </c>
      <c r="N195" s="55">
        <v>-2647819222.08285</v>
      </c>
      <c r="O195" s="53">
        <v>9.5000000000000001E-2</v>
      </c>
      <c r="P195" s="53">
        <v>-3.5000000000000003E-2</v>
      </c>
      <c r="Q195" s="16">
        <f>296885000000+366872000000+3890000000</f>
        <v>667647000000</v>
      </c>
      <c r="R195" s="4">
        <f t="shared" si="163"/>
        <v>-1.257622617957398E-2</v>
      </c>
      <c r="S195" s="4">
        <f t="shared" si="164"/>
        <v>-0.17642667975664469</v>
      </c>
    </row>
    <row r="196" spans="1:19" x14ac:dyDescent="0.35">
      <c r="A196" s="8">
        <v>194</v>
      </c>
      <c r="B196" s="9"/>
      <c r="C196" s="6">
        <v>2021</v>
      </c>
      <c r="D196" s="16">
        <v>352333000000</v>
      </c>
      <c r="E196" s="16">
        <v>1260898000000</v>
      </c>
      <c r="F196" s="16">
        <f t="shared" si="165"/>
        <v>-908565000000</v>
      </c>
      <c r="G196" s="16">
        <v>4068970000000</v>
      </c>
      <c r="H196" s="4">
        <f t="shared" si="159"/>
        <v>-0.23602058024956904</v>
      </c>
      <c r="I196" s="4">
        <f t="shared" si="160"/>
        <v>2.5977291690695661E-13</v>
      </c>
      <c r="J196" s="16">
        <v>4020980000000</v>
      </c>
      <c r="K196" s="4">
        <f t="shared" si="161"/>
        <v>0.17809225887098534</v>
      </c>
      <c r="L196" s="16">
        <v>1588101000000</v>
      </c>
      <c r="M196" s="4">
        <f t="shared" si="162"/>
        <v>0.41254562911285469</v>
      </c>
      <c r="N196" s="55">
        <v>-2647819222.08285</v>
      </c>
      <c r="O196" s="53">
        <v>9.5000000000000001E-2</v>
      </c>
      <c r="P196" s="53">
        <v>-3.5000000000000003E-2</v>
      </c>
      <c r="Q196" s="16">
        <f>372981000000+291077000000+3032000000</f>
        <v>667090000000</v>
      </c>
      <c r="R196" s="4">
        <f t="shared" si="163"/>
        <v>1.8055817349290522E-3</v>
      </c>
      <c r="S196" s="4">
        <f t="shared" si="164"/>
        <v>-0.2378261619844981</v>
      </c>
    </row>
    <row r="197" spans="1:19" x14ac:dyDescent="0.35">
      <c r="A197" s="8">
        <v>195</v>
      </c>
      <c r="B197" s="9"/>
      <c r="C197" s="6">
        <v>2022</v>
      </c>
      <c r="D197" s="16">
        <v>315138000000</v>
      </c>
      <c r="E197" s="16">
        <v>1104714000000</v>
      </c>
      <c r="F197" s="16">
        <f t="shared" si="165"/>
        <v>-789576000000</v>
      </c>
      <c r="G197" s="16">
        <v>4081442000000</v>
      </c>
      <c r="H197" s="4">
        <f t="shared" si="159"/>
        <v>-0.194048125201218</v>
      </c>
      <c r="I197" s="4">
        <f t="shared" si="160"/>
        <v>2.4576244110917506E-13</v>
      </c>
      <c r="J197" s="16">
        <v>3865523000000</v>
      </c>
      <c r="K197" s="4">
        <f t="shared" si="161"/>
        <v>-3.8205491807509026E-2</v>
      </c>
      <c r="L197" s="16">
        <v>1610837000000</v>
      </c>
      <c r="M197" s="4">
        <f t="shared" si="162"/>
        <v>0.39588323334898023</v>
      </c>
      <c r="N197" s="55">
        <v>-2647819222.08285</v>
      </c>
      <c r="O197" s="53">
        <v>9.5000000000000001E-2</v>
      </c>
      <c r="P197" s="53">
        <v>-3.5000000000000003E-2</v>
      </c>
      <c r="Q197" s="16">
        <f>339221000000+347441000000+2042000000</f>
        <v>688704000000</v>
      </c>
      <c r="R197" s="4">
        <f t="shared" si="163"/>
        <v>-1.8640800797765249E-2</v>
      </c>
      <c r="S197" s="4">
        <f t="shared" si="164"/>
        <v>-0.17540732440345275</v>
      </c>
    </row>
    <row r="198" spans="1:19" x14ac:dyDescent="0.35">
      <c r="A198" s="8">
        <v>196</v>
      </c>
      <c r="B198" s="9" t="s">
        <v>77</v>
      </c>
      <c r="C198" s="8">
        <v>2018</v>
      </c>
      <c r="D198" s="15"/>
      <c r="E198" s="15"/>
      <c r="F198" s="16"/>
      <c r="G198" s="16">
        <v>7869975060326</v>
      </c>
      <c r="H198" s="4"/>
      <c r="I198" s="4"/>
      <c r="J198" s="15">
        <v>10088118830780</v>
      </c>
      <c r="K198" s="4"/>
      <c r="L198" s="15">
        <v>2271379683420</v>
      </c>
      <c r="M198" s="4"/>
      <c r="N198" s="55">
        <v>-2647819222.08285</v>
      </c>
      <c r="O198" s="53">
        <v>9.5000000000000001E-2</v>
      </c>
      <c r="P198" s="53">
        <v>-3.5000000000000003E-2</v>
      </c>
      <c r="Q198" s="15">
        <f>1171801034437+2462139003</f>
        <v>1174263173440</v>
      </c>
      <c r="R198" s="4"/>
      <c r="S198" s="4"/>
    </row>
    <row r="199" spans="1:19" x14ac:dyDescent="0.35">
      <c r="A199" s="8">
        <v>197</v>
      </c>
      <c r="B199" s="9"/>
      <c r="C199" s="8">
        <v>2019</v>
      </c>
      <c r="D199" s="16">
        <v>201065998598</v>
      </c>
      <c r="E199" s="16">
        <v>595154912874</v>
      </c>
      <c r="F199" s="16">
        <f t="shared" si="165"/>
        <v>-394088914276</v>
      </c>
      <c r="G199" s="16">
        <v>8372769580743</v>
      </c>
      <c r="H199" s="4">
        <f t="shared" ref="H199:H201" si="166">F199/G198</f>
        <v>-5.0074988961867885E-2</v>
      </c>
      <c r="I199" s="4">
        <f t="shared" ref="I199:I202" si="167">1/G198</f>
        <v>1.2706520571344437E-13</v>
      </c>
      <c r="J199" s="16">
        <v>10993842057747</v>
      </c>
      <c r="K199" s="4">
        <f t="shared" ref="K199:K202" si="168">(J199-J198)/G198</f>
        <v>0.11508590815400653</v>
      </c>
      <c r="L199" s="16">
        <v>2370214050251</v>
      </c>
      <c r="M199" s="4">
        <f t="shared" ref="M199:M202" si="169">L199/G198</f>
        <v>0.30117173588003948</v>
      </c>
      <c r="N199" s="55">
        <v>-2647819222.08285</v>
      </c>
      <c r="O199" s="53">
        <v>9.5000000000000001E-2</v>
      </c>
      <c r="P199" s="53">
        <v>-3.5000000000000003E-2</v>
      </c>
      <c r="Q199" s="16">
        <f>1149590796666+21040230013</f>
        <v>1170631026679</v>
      </c>
      <c r="R199" s="4">
        <f t="shared" ref="R199:R202" si="170">SUM((N199*I199)+(O199*(((J199-J198)-(Q199-Q198))/G198))+(P199*M199))</f>
        <v>9.9549174843217153E-5</v>
      </c>
      <c r="S199" s="4">
        <f t="shared" ref="S199:S202" si="171">SUM(H199-R199)</f>
        <v>-5.0174538136711105E-2</v>
      </c>
    </row>
    <row r="200" spans="1:19" x14ac:dyDescent="0.35">
      <c r="A200" s="8">
        <v>198</v>
      </c>
      <c r="B200" s="9"/>
      <c r="C200" s="6">
        <v>2020</v>
      </c>
      <c r="D200" s="16">
        <v>230078783192</v>
      </c>
      <c r="E200" s="16">
        <v>834369751682</v>
      </c>
      <c r="F200" s="16">
        <f t="shared" si="165"/>
        <v>-604290968490</v>
      </c>
      <c r="G200" s="16">
        <v>9104657533366</v>
      </c>
      <c r="H200" s="4">
        <f t="shared" si="166"/>
        <v>-7.2173366609758677E-2</v>
      </c>
      <c r="I200" s="4">
        <f t="shared" si="167"/>
        <v>1.1943479279543962E-13</v>
      </c>
      <c r="J200" s="16">
        <v>10968402090246</v>
      </c>
      <c r="K200" s="4">
        <f t="shared" si="168"/>
        <v>-3.0384172472046529E-3</v>
      </c>
      <c r="L200" s="16">
        <v>2418932619330</v>
      </c>
      <c r="M200" s="4">
        <f t="shared" si="169"/>
        <v>0.28890471617580854</v>
      </c>
      <c r="N200" s="55">
        <v>-2647819222.08285</v>
      </c>
      <c r="O200" s="53">
        <v>9.5000000000000001E-2</v>
      </c>
      <c r="P200" s="53">
        <v>-3.5000000000000003E-2</v>
      </c>
      <c r="Q200" s="16">
        <f>1208945002131+49278039837</f>
        <v>1258223041968</v>
      </c>
      <c r="R200" s="4">
        <f t="shared" si="170"/>
        <v>-1.1710402193461776E-2</v>
      </c>
      <c r="S200" s="4">
        <f t="shared" si="171"/>
        <v>-6.0462964416296901E-2</v>
      </c>
    </row>
    <row r="201" spans="1:19" x14ac:dyDescent="0.35">
      <c r="A201" s="8">
        <v>199</v>
      </c>
      <c r="B201" s="9"/>
      <c r="C201" s="6">
        <v>2021</v>
      </c>
      <c r="D201" s="16">
        <v>220552779828</v>
      </c>
      <c r="E201" s="16">
        <v>877817637643</v>
      </c>
      <c r="F201" s="16">
        <f t="shared" si="165"/>
        <v>-657264857815</v>
      </c>
      <c r="G201" s="16">
        <v>9644326662784</v>
      </c>
      <c r="H201" s="4">
        <f t="shared" si="166"/>
        <v>-7.218995941432281E-2</v>
      </c>
      <c r="I201" s="4">
        <f t="shared" si="167"/>
        <v>1.0983389505154722E-13</v>
      </c>
      <c r="J201" s="16">
        <v>11234443003639</v>
      </c>
      <c r="K201" s="4">
        <f t="shared" si="168"/>
        <v>2.9220309761024525E-2</v>
      </c>
      <c r="L201" s="16">
        <v>2509079373131</v>
      </c>
      <c r="M201" s="4">
        <f t="shared" si="169"/>
        <v>0.27558196054447215</v>
      </c>
      <c r="N201" s="55">
        <v>-2647819222.08285</v>
      </c>
      <c r="O201" s="53">
        <v>9.5000000000000001E-2</v>
      </c>
      <c r="P201" s="53">
        <v>-3.5000000000000003E-2</v>
      </c>
      <c r="Q201" s="16">
        <f>1120523082676+59735654623</f>
        <v>1180258737299</v>
      </c>
      <c r="R201" s="4">
        <f t="shared" si="170"/>
        <v>-6.3467627809186428E-3</v>
      </c>
      <c r="S201" s="4">
        <f t="shared" si="171"/>
        <v>-6.5843196633404169E-2</v>
      </c>
    </row>
    <row r="202" spans="1:19" x14ac:dyDescent="0.35">
      <c r="A202" s="8">
        <v>200</v>
      </c>
      <c r="B202" s="9"/>
      <c r="C202" s="6">
        <v>2022</v>
      </c>
      <c r="D202" s="16">
        <v>292295089045</v>
      </c>
      <c r="E202" s="16">
        <v>1037527882044</v>
      </c>
      <c r="F202" s="16">
        <f t="shared" si="165"/>
        <v>-745232792999</v>
      </c>
      <c r="G202" s="16">
        <v>11328974079150</v>
      </c>
      <c r="H202" s="4">
        <f>F202/G201</f>
        <v>-7.7271624972507488E-2</v>
      </c>
      <c r="I202" s="4">
        <f t="shared" si="167"/>
        <v>1.0368790222119383E-13</v>
      </c>
      <c r="J202" s="16">
        <v>12254369318120</v>
      </c>
      <c r="K202" s="4">
        <f t="shared" si="168"/>
        <v>0.10575401996872852</v>
      </c>
      <c r="L202" s="16">
        <v>2925265890377</v>
      </c>
      <c r="M202" s="4">
        <f t="shared" si="169"/>
        <v>0.30331468361240388</v>
      </c>
      <c r="N202" s="55">
        <v>-2647819222.08285</v>
      </c>
      <c r="O202" s="53">
        <v>9.5000000000000001E-2</v>
      </c>
      <c r="P202" s="53">
        <v>-3.5000000000000003E-2</v>
      </c>
      <c r="Q202" s="16">
        <f>1352057404055+64637373643</f>
        <v>1416694777698</v>
      </c>
      <c r="R202" s="4">
        <f t="shared" si="170"/>
        <v>-3.1729067686571367E-3</v>
      </c>
      <c r="S202" s="4">
        <f t="shared" si="171"/>
        <v>-7.4098718203850347E-2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C174F-22B5-4102-B26D-0AB54D875B2D}">
  <dimension ref="A1:M161"/>
  <sheetViews>
    <sheetView workbookViewId="0">
      <selection activeCell="G16" sqref="G16"/>
    </sheetView>
  </sheetViews>
  <sheetFormatPr defaultRowHeight="14.5" x14ac:dyDescent="0.35"/>
  <cols>
    <col min="1" max="1" width="10.6328125" style="26" customWidth="1"/>
    <col min="2" max="2" width="10.6328125" customWidth="1"/>
    <col min="3" max="4" width="10.6328125" style="26" customWidth="1"/>
    <col min="8" max="12" width="18.7265625" customWidth="1"/>
  </cols>
  <sheetData>
    <row r="1" spans="1:13" x14ac:dyDescent="0.35">
      <c r="A1" s="65" t="s">
        <v>32</v>
      </c>
      <c r="B1" s="60" t="s">
        <v>63</v>
      </c>
      <c r="C1" s="65" t="s">
        <v>64</v>
      </c>
      <c r="D1" s="65" t="s">
        <v>90</v>
      </c>
    </row>
    <row r="2" spans="1:13" ht="15" thickBot="1" x14ac:dyDescent="0.4">
      <c r="A2" s="26">
        <v>-3.9048489727079014E-2</v>
      </c>
      <c r="B2">
        <v>3.7234286358545253E-14</v>
      </c>
      <c r="C2" s="26">
        <v>-6.075336057120672E-2</v>
      </c>
      <c r="D2" s="26">
        <v>0.36644580901484519</v>
      </c>
      <c r="F2" s="74" t="s">
        <v>57</v>
      </c>
      <c r="G2" s="74"/>
      <c r="H2" s="74"/>
      <c r="I2" s="74"/>
      <c r="J2" s="74"/>
      <c r="K2" s="74"/>
      <c r="L2" s="74"/>
      <c r="M2" s="36"/>
    </row>
    <row r="3" spans="1:13" ht="15" customHeight="1" thickTop="1" x14ac:dyDescent="0.35">
      <c r="A3" s="26">
        <v>-5.295389759459844E-2</v>
      </c>
      <c r="B3">
        <v>3.7072566286119243E-14</v>
      </c>
      <c r="C3" s="26">
        <v>5.02076360292553E-2</v>
      </c>
      <c r="D3" s="26">
        <v>0.34263062629948615</v>
      </c>
      <c r="F3" s="75" t="s">
        <v>46</v>
      </c>
      <c r="G3" s="76"/>
      <c r="H3" s="79" t="s">
        <v>47</v>
      </c>
      <c r="I3" s="80"/>
      <c r="J3" s="37" t="s">
        <v>48</v>
      </c>
      <c r="K3" s="80" t="s">
        <v>49</v>
      </c>
      <c r="L3" s="82" t="s">
        <v>50</v>
      </c>
      <c r="M3" s="36"/>
    </row>
    <row r="4" spans="1:13" ht="15" thickBot="1" x14ac:dyDescent="0.4">
      <c r="A4" s="26">
        <v>-0.10178659829724608</v>
      </c>
      <c r="B4">
        <v>3.5995525180291688E-14</v>
      </c>
      <c r="C4" s="26">
        <v>0.19851550134693455</v>
      </c>
      <c r="D4" s="26">
        <v>0.33015905594680089</v>
      </c>
      <c r="F4" s="77"/>
      <c r="G4" s="78"/>
      <c r="H4" s="38" t="s">
        <v>51</v>
      </c>
      <c r="I4" s="39" t="s">
        <v>52</v>
      </c>
      <c r="J4" s="39" t="s">
        <v>53</v>
      </c>
      <c r="K4" s="81"/>
      <c r="L4" s="83"/>
      <c r="M4" s="36"/>
    </row>
    <row r="5" spans="1:13" ht="15" thickTop="1" x14ac:dyDescent="0.35">
      <c r="A5" s="26">
        <v>-1.4258925669046476E-3</v>
      </c>
      <c r="B5">
        <v>3.2894838556408694E-14</v>
      </c>
      <c r="C5" s="26">
        <v>-8.202186546234716E-2</v>
      </c>
      <c r="D5" s="26">
        <v>0.29950089319355133</v>
      </c>
      <c r="F5" s="84" t="s">
        <v>54</v>
      </c>
      <c r="G5" s="40" t="s">
        <v>55</v>
      </c>
      <c r="H5" s="41">
        <v>-4.4436420998103382E-2</v>
      </c>
      <c r="I5" s="42">
        <v>1.2550732564787451E-2</v>
      </c>
      <c r="J5" s="43"/>
      <c r="K5" s="42">
        <v>-3.540544009580362</v>
      </c>
      <c r="L5" s="44">
        <v>5.2663088798565565E-4</v>
      </c>
      <c r="M5" s="36"/>
    </row>
    <row r="6" spans="1:13" x14ac:dyDescent="0.35">
      <c r="A6" s="26">
        <v>-0.11380443107996936</v>
      </c>
      <c r="B6">
        <v>1.1347195824231937E-12</v>
      </c>
      <c r="C6" s="26">
        <v>3.4073359621003663E-2</v>
      </c>
      <c r="D6" s="26">
        <v>0.46006978525431902</v>
      </c>
      <c r="F6" s="85"/>
      <c r="G6" s="45" t="s">
        <v>63</v>
      </c>
      <c r="H6" s="46">
        <v>-2647819222.08285</v>
      </c>
      <c r="I6" s="47">
        <v>8496101118.2569914</v>
      </c>
      <c r="J6" s="47">
        <v>-2.5116545054977058E-2</v>
      </c>
      <c r="K6" s="47">
        <v>-0.31165109562938681</v>
      </c>
      <c r="L6" s="48">
        <v>0.75572181184185672</v>
      </c>
      <c r="M6" s="36"/>
    </row>
    <row r="7" spans="1:13" x14ac:dyDescent="0.35">
      <c r="A7" s="26">
        <v>-0.11538531691746466</v>
      </c>
      <c r="B7">
        <v>1.2159902720778234E-12</v>
      </c>
      <c r="C7" s="26">
        <v>-0.19573309013527893</v>
      </c>
      <c r="D7" s="26">
        <v>0.42757379540963675</v>
      </c>
      <c r="F7" s="85"/>
      <c r="G7" s="45" t="s">
        <v>64</v>
      </c>
      <c r="H7" s="46">
        <v>9.4786234930252372E-2</v>
      </c>
      <c r="I7" s="47">
        <v>2.6105344606245588E-2</v>
      </c>
      <c r="J7" s="47">
        <v>0.28993763201023115</v>
      </c>
      <c r="K7" s="47">
        <v>3.6309129934862145</v>
      </c>
      <c r="L7" s="48">
        <v>3.8250851803559992E-4</v>
      </c>
      <c r="M7" s="36"/>
    </row>
    <row r="8" spans="1:13" ht="15" thickBot="1" x14ac:dyDescent="0.4">
      <c r="A8" s="26">
        <v>-4.4413224571361223E-2</v>
      </c>
      <c r="B8">
        <v>1.0429801698180313E-12</v>
      </c>
      <c r="C8" s="26">
        <v>0.27295938322324675</v>
      </c>
      <c r="D8" s="26">
        <v>0.5252322977583227</v>
      </c>
      <c r="F8" s="86"/>
      <c r="G8" s="49" t="s">
        <v>90</v>
      </c>
      <c r="H8" s="50">
        <v>-3.5448898066787402E-2</v>
      </c>
      <c r="I8" s="51">
        <v>3.0589391664899462E-2</v>
      </c>
      <c r="J8" s="51">
        <v>-9.4082172281475224E-2</v>
      </c>
      <c r="K8" s="51">
        <v>-1.1588624728181207</v>
      </c>
      <c r="L8" s="52">
        <v>0.24828310982347412</v>
      </c>
      <c r="M8" s="36"/>
    </row>
    <row r="9" spans="1:13" ht="15" thickTop="1" x14ac:dyDescent="0.35">
      <c r="A9" s="26">
        <v>4.0045763080971825E-2</v>
      </c>
      <c r="B9">
        <v>7.6680765703454012E-13</v>
      </c>
      <c r="C9" s="26">
        <v>0.2729198808687624</v>
      </c>
      <c r="D9" s="26">
        <v>0.54317817235995791</v>
      </c>
      <c r="F9" s="73" t="s">
        <v>56</v>
      </c>
      <c r="G9" s="73"/>
      <c r="H9" s="73"/>
      <c r="I9" s="73"/>
      <c r="J9" s="73"/>
      <c r="K9" s="73"/>
      <c r="L9" s="73"/>
      <c r="M9" s="36"/>
    </row>
    <row r="10" spans="1:13" x14ac:dyDescent="0.35">
      <c r="A10" s="26">
        <v>-2.2945305803595648E-2</v>
      </c>
      <c r="B10">
        <v>3.6166234480164629E-13</v>
      </c>
      <c r="C10" s="26">
        <v>2.4574956329271864E-3</v>
      </c>
      <c r="D10" s="26">
        <v>0.1739440363687654</v>
      </c>
    </row>
    <row r="11" spans="1:13" x14ac:dyDescent="0.35">
      <c r="A11" s="26">
        <v>-0.14917941038864951</v>
      </c>
      <c r="B11">
        <v>3.400139269704487E-13</v>
      </c>
      <c r="C11" s="26">
        <v>-0.1562867215041128</v>
      </c>
      <c r="D11" s="26">
        <v>0.16740245680463073</v>
      </c>
    </row>
    <row r="12" spans="1:13" x14ac:dyDescent="0.35">
      <c r="A12" s="26">
        <v>-9.3155388083413296E-2</v>
      </c>
      <c r="B12">
        <v>3.4305564465472992E-13</v>
      </c>
      <c r="C12" s="26">
        <v>6.9426229142645624E-2</v>
      </c>
      <c r="D12" s="26">
        <v>0.17075937768333838</v>
      </c>
    </row>
    <row r="13" spans="1:13" x14ac:dyDescent="0.35">
      <c r="A13" s="26">
        <v>-4.6262341956233986E-2</v>
      </c>
      <c r="B13">
        <v>3.1926421092892477E-13</v>
      </c>
      <c r="C13" s="26">
        <v>0.12785063032333163</v>
      </c>
      <c r="D13" s="26">
        <v>0.16447885545057439</v>
      </c>
    </row>
    <row r="14" spans="1:13" x14ac:dyDescent="0.35">
      <c r="A14" s="26">
        <v>-6.1043389586734963E-2</v>
      </c>
      <c r="B14">
        <v>2.9472616991553147E-13</v>
      </c>
      <c r="C14" s="26">
        <v>0.10509198403763063</v>
      </c>
      <c r="D14" s="26">
        <v>0.53315021013975916</v>
      </c>
    </row>
    <row r="15" spans="1:13" x14ac:dyDescent="0.35">
      <c r="A15" s="26">
        <v>-4.219961083644163E-2</v>
      </c>
      <c r="B15">
        <v>3.3335922423308211E-13</v>
      </c>
      <c r="C15" s="26">
        <v>-9.2641195132821985E-2</v>
      </c>
      <c r="D15" s="26">
        <v>0.56640632422451476</v>
      </c>
    </row>
    <row r="16" spans="1:13" x14ac:dyDescent="0.35">
      <c r="A16" s="26">
        <v>-4.795331229389603E-2</v>
      </c>
      <c r="B16">
        <v>3.3749498398080058E-13</v>
      </c>
      <c r="C16" s="26">
        <v>0.21900589502488518</v>
      </c>
      <c r="D16" s="26">
        <v>0.56125888328984708</v>
      </c>
    </row>
    <row r="17" spans="1:4" x14ac:dyDescent="0.35">
      <c r="A17" s="26">
        <v>2.0653357022442066E-2</v>
      </c>
      <c r="B17">
        <v>3.3408859628667207E-13</v>
      </c>
      <c r="C17" s="26">
        <v>2.5203643703866543E-3</v>
      </c>
      <c r="D17" s="26">
        <v>0.52881915049288086</v>
      </c>
    </row>
    <row r="18" spans="1:4" x14ac:dyDescent="0.35">
      <c r="A18" s="26">
        <v>-8.1333802264254698E-2</v>
      </c>
      <c r="B18">
        <v>9.9574239096041409E-13</v>
      </c>
      <c r="C18" s="26">
        <v>6.752758344298182E-2</v>
      </c>
      <c r="D18" s="26">
        <v>0.207281467858769</v>
      </c>
    </row>
    <row r="19" spans="1:4" x14ac:dyDescent="0.35">
      <c r="A19" s="26">
        <v>-0.14641144586398572</v>
      </c>
      <c r="B19">
        <v>9.4560033517048221E-13</v>
      </c>
      <c r="C19" s="26">
        <v>-6.8384372976356911E-2</v>
      </c>
      <c r="D19" s="26">
        <v>0.22477999637200735</v>
      </c>
    </row>
    <row r="20" spans="1:4" x14ac:dyDescent="0.35">
      <c r="A20" s="26">
        <v>-0.10507545264386471</v>
      </c>
      <c r="B20">
        <v>9.2007013390113286E-13</v>
      </c>
      <c r="C20" s="26">
        <v>5.7503631822412901E-2</v>
      </c>
      <c r="D20" s="26">
        <v>0.18233093049944765</v>
      </c>
    </row>
    <row r="21" spans="1:4" x14ac:dyDescent="0.35">
      <c r="A21" s="26">
        <v>-4.982976905287511E-2</v>
      </c>
      <c r="B21">
        <v>8.7242100907468872E-13</v>
      </c>
      <c r="C21" s="26">
        <v>9.6164258841803241E-2</v>
      </c>
      <c r="D21" s="26">
        <v>0.19513775522561141</v>
      </c>
    </row>
    <row r="22" spans="1:4" x14ac:dyDescent="0.35">
      <c r="A22" s="26">
        <v>-0.20333424957005014</v>
      </c>
      <c r="B22">
        <v>8.5546416072679169E-13</v>
      </c>
      <c r="C22" s="26">
        <v>-0.43490983922298221</v>
      </c>
      <c r="D22" s="26">
        <v>0.16705795945922924</v>
      </c>
    </row>
    <row r="23" spans="1:4" x14ac:dyDescent="0.35">
      <c r="A23" s="26">
        <v>7.5495644565580248E-3</v>
      </c>
      <c r="B23">
        <v>7.1783410049307883E-13</v>
      </c>
      <c r="C23" s="26">
        <v>0.36850743928427487</v>
      </c>
      <c r="D23" s="26">
        <v>0.14657168078213992</v>
      </c>
    </row>
    <row r="24" spans="1:4" x14ac:dyDescent="0.35">
      <c r="A24" s="26">
        <v>0.17779621463486264</v>
      </c>
      <c r="B24">
        <v>6.3829495462574103E-13</v>
      </c>
      <c r="C24" s="26">
        <v>1.1011502367103574</v>
      </c>
      <c r="D24" s="26">
        <v>0.15067774942414747</v>
      </c>
    </row>
    <row r="25" spans="1:4" x14ac:dyDescent="0.35">
      <c r="A25" s="26">
        <v>0.12303439838147914</v>
      </c>
      <c r="B25">
        <v>5.891407701397964E-13</v>
      </c>
      <c r="C25" s="26">
        <v>0.46207423757273736</v>
      </c>
      <c r="D25" s="26">
        <v>0.15870833883256769</v>
      </c>
    </row>
    <row r="26" spans="1:4" x14ac:dyDescent="0.35">
      <c r="A26" s="26">
        <v>-9.5102227209490034E-2</v>
      </c>
      <c r="B26">
        <v>1.1991358620317652E-12</v>
      </c>
      <c r="C26" s="26">
        <v>0.30435117834388475</v>
      </c>
      <c r="D26" s="26">
        <v>1.1115530941628684</v>
      </c>
    </row>
    <row r="27" spans="1:4" x14ac:dyDescent="0.35">
      <c r="A27" s="26">
        <v>-7.5617002748019135E-2</v>
      </c>
      <c r="B27">
        <v>8.0311976452303364E-13</v>
      </c>
      <c r="C27" s="26">
        <v>-9.0172677800193765E-2</v>
      </c>
      <c r="D27" s="26">
        <v>0.79762207901657944</v>
      </c>
    </row>
    <row r="28" spans="1:4" x14ac:dyDescent="0.35">
      <c r="A28" s="26">
        <v>-3.9693024677296407E-2</v>
      </c>
      <c r="B28">
        <v>7.6281134699174508E-13</v>
      </c>
      <c r="C28" s="26">
        <v>9.9840532179348254E-2</v>
      </c>
      <c r="D28" s="26">
        <v>0.78390103151813872</v>
      </c>
    </row>
    <row r="29" spans="1:4" x14ac:dyDescent="0.35">
      <c r="A29" s="26">
        <v>4.0956074608608289E-3</v>
      </c>
      <c r="B29">
        <v>7.4173984953106315E-13</v>
      </c>
      <c r="C29" s="26">
        <v>0.18928366816532138</v>
      </c>
      <c r="D29" s="26">
        <v>0.8993804736587393</v>
      </c>
    </row>
    <row r="30" spans="1:4" x14ac:dyDescent="0.35">
      <c r="A30" s="26">
        <v>-0.10768131774500794</v>
      </c>
      <c r="B30">
        <v>1.5215049509771104E-13</v>
      </c>
      <c r="C30" s="26">
        <v>-3.2684360754909894E-2</v>
      </c>
      <c r="D30" s="26">
        <v>0.61665621899933665</v>
      </c>
    </row>
    <row r="31" spans="1:4" x14ac:dyDescent="0.35">
      <c r="A31" s="26">
        <v>-6.2575632151878779E-2</v>
      </c>
      <c r="B31">
        <v>1.66659472532769E-13</v>
      </c>
      <c r="C31" s="26">
        <v>6.6287471924128608E-2</v>
      </c>
      <c r="D31" s="26">
        <v>0.66679221680264134</v>
      </c>
    </row>
    <row r="32" spans="1:4" x14ac:dyDescent="0.35">
      <c r="A32" s="26">
        <v>0.33354509505013441</v>
      </c>
      <c r="B32">
        <v>1.5807045294930221E-13</v>
      </c>
      <c r="C32" s="26">
        <v>7.1854401938070203E-2</v>
      </c>
      <c r="D32" s="26">
        <v>0.62816897668192095</v>
      </c>
    </row>
    <row r="33" spans="1:4" x14ac:dyDescent="0.35">
      <c r="A33" s="26">
        <v>1.392953117091048E-2</v>
      </c>
      <c r="B33">
        <v>1.551725689656724E-13</v>
      </c>
      <c r="C33" s="26">
        <v>3.3248050489429797E-2</v>
      </c>
      <c r="D33" s="26">
        <v>0.61620640930985759</v>
      </c>
    </row>
    <row r="34" spans="1:4" x14ac:dyDescent="0.35">
      <c r="A34" s="26">
        <v>2.8519956883715329E-2</v>
      </c>
      <c r="B34">
        <v>6.5637593043995688E-13</v>
      </c>
      <c r="C34" s="26">
        <v>-4.3235235084354187E-2</v>
      </c>
      <c r="D34" s="26">
        <v>5.5945885401475326E-2</v>
      </c>
    </row>
    <row r="35" spans="1:4" x14ac:dyDescent="0.35">
      <c r="A35" s="26">
        <v>-8.6564899090762551E-2</v>
      </c>
      <c r="B35">
        <v>7.0127027719324835E-13</v>
      </c>
      <c r="C35" s="26">
        <v>-0.19691691543727174</v>
      </c>
      <c r="D35" s="26">
        <v>5.5482596175105564E-2</v>
      </c>
    </row>
    <row r="36" spans="1:4" x14ac:dyDescent="0.35">
      <c r="A36" s="26">
        <v>-0.12027409160540671</v>
      </c>
      <c r="B36">
        <v>8.1593960006457767E-13</v>
      </c>
      <c r="C36" s="26">
        <v>0.11004526308251995</v>
      </c>
      <c r="D36" s="26">
        <v>6.8662138180671878E-2</v>
      </c>
    </row>
    <row r="37" spans="1:4" x14ac:dyDescent="0.35">
      <c r="A37" s="26">
        <v>2.5396286873179602E-2</v>
      </c>
      <c r="B37">
        <v>7.6410417975187114E-13</v>
      </c>
      <c r="C37" s="26">
        <v>7.4529598459853283E-2</v>
      </c>
      <c r="D37" s="26">
        <v>6.3844111927615438E-2</v>
      </c>
    </row>
    <row r="38" spans="1:4" x14ac:dyDescent="0.35">
      <c r="A38" s="26">
        <v>-3.4833526026136027E-2</v>
      </c>
      <c r="B38">
        <v>8.5186915426089619E-14</v>
      </c>
      <c r="C38" s="26">
        <v>8.3046934923670823E-2</v>
      </c>
      <c r="D38" s="26">
        <v>0.26843427812437493</v>
      </c>
    </row>
    <row r="39" spans="1:4" x14ac:dyDescent="0.35">
      <c r="A39" s="26">
        <v>-5.3028525265125415E-2</v>
      </c>
      <c r="B39">
        <v>8.6052439840524182E-14</v>
      </c>
      <c r="C39" s="26">
        <v>8.2802583397506943E-2</v>
      </c>
      <c r="D39" s="26">
        <v>0.46920264927925487</v>
      </c>
    </row>
    <row r="40" spans="1:4" x14ac:dyDescent="0.35">
      <c r="A40" s="26">
        <v>-2.2319797294723772E-2</v>
      </c>
      <c r="B40">
        <v>7.0664471451306208E-14</v>
      </c>
      <c r="C40" s="26">
        <v>3.0073173766832544E-2</v>
      </c>
      <c r="D40" s="26">
        <v>0.41846079637587363</v>
      </c>
    </row>
    <row r="41" spans="1:4" x14ac:dyDescent="0.35">
      <c r="A41" s="26">
        <v>-2.41712465432142E-2</v>
      </c>
      <c r="B41">
        <v>7.292797050209449E-14</v>
      </c>
      <c r="C41" s="26">
        <v>0.18298911331256346</v>
      </c>
      <c r="D41" s="26">
        <v>0.48706571393566001</v>
      </c>
    </row>
    <row r="42" spans="1:4" x14ac:dyDescent="0.35">
      <c r="A42" s="26">
        <v>-9.2346018439190131E-3</v>
      </c>
      <c r="B42">
        <v>2.3739389143518937E-13</v>
      </c>
      <c r="C42" s="26">
        <v>9.2508765332000864E-2</v>
      </c>
      <c r="D42" s="26">
        <v>0.64461146500795596</v>
      </c>
    </row>
    <row r="43" spans="1:4" x14ac:dyDescent="0.35">
      <c r="A43" s="26">
        <v>-0.11417235124459396</v>
      </c>
      <c r="B43">
        <v>1.9750871698762302E-13</v>
      </c>
      <c r="C43" s="26">
        <v>-0.1436474510340161</v>
      </c>
      <c r="D43" s="26">
        <v>0.63551635053514177</v>
      </c>
    </row>
    <row r="44" spans="1:4" x14ac:dyDescent="0.35">
      <c r="A44" s="26">
        <v>-3.3043763844549705E-2</v>
      </c>
      <c r="B44">
        <v>1.5218454119090913E-13</v>
      </c>
      <c r="C44" s="26">
        <v>0.16561411333943107</v>
      </c>
      <c r="D44" s="26">
        <v>0.48608149687888041</v>
      </c>
    </row>
    <row r="45" spans="1:4" x14ac:dyDescent="0.35">
      <c r="A45" s="26">
        <v>-1.4854677653801131E-2</v>
      </c>
      <c r="B45">
        <v>1.4778465743945968E-13</v>
      </c>
      <c r="C45" s="26">
        <v>0.25291318180515754</v>
      </c>
      <c r="D45" s="26">
        <v>0.4694880905785796</v>
      </c>
    </row>
    <row r="46" spans="1:4" x14ac:dyDescent="0.35">
      <c r="A46" s="26">
        <v>-1.9780889931833323E-3</v>
      </c>
      <c r="B46">
        <v>1.3177894688358427E-12</v>
      </c>
      <c r="C46" s="26">
        <v>0.29287415321803334</v>
      </c>
      <c r="D46" s="26">
        <v>0.46642586623209342</v>
      </c>
    </row>
    <row r="47" spans="1:4" x14ac:dyDescent="0.35">
      <c r="A47" s="26">
        <v>-4.7300579577235061E-2</v>
      </c>
      <c r="B47">
        <v>1.1783059240579454E-12</v>
      </c>
      <c r="C47" s="26">
        <v>-0.56540106549536262</v>
      </c>
      <c r="D47" s="26">
        <v>0.44749259364175664</v>
      </c>
    </row>
    <row r="48" spans="1:4" x14ac:dyDescent="0.35">
      <c r="A48" s="26">
        <v>-2.2049056015544708E-3</v>
      </c>
      <c r="B48">
        <v>1.1026279642556371E-12</v>
      </c>
      <c r="C48" s="26">
        <v>-0.26418117143594749</v>
      </c>
      <c r="D48" s="26">
        <v>0.48739898639434914</v>
      </c>
    </row>
    <row r="49" spans="1:4" x14ac:dyDescent="0.35">
      <c r="A49" s="26">
        <v>-0.21103492420345668</v>
      </c>
      <c r="B49">
        <v>1.012593031865785E-12</v>
      </c>
      <c r="C49" s="26">
        <v>-7.9875383224445387E-3</v>
      </c>
      <c r="D49" s="26">
        <v>0.33385082150033535</v>
      </c>
    </row>
    <row r="50" spans="1:4" x14ac:dyDescent="0.35">
      <c r="A50" s="26">
        <v>-5.9304650577253225E-2</v>
      </c>
      <c r="B50">
        <v>2.9097551374127498E-14</v>
      </c>
      <c r="C50" s="26">
        <v>0.11299440486094382</v>
      </c>
      <c r="D50" s="26">
        <v>0.33003641587652022</v>
      </c>
    </row>
    <row r="51" spans="1:4" x14ac:dyDescent="0.35">
      <c r="A51" s="26">
        <v>-4.9554120230598762E-2</v>
      </c>
      <c r="B51">
        <v>2.5833575867554771E-14</v>
      </c>
      <c r="C51" s="26">
        <v>0.11222996615233223</v>
      </c>
      <c r="D51" s="26">
        <v>0.34491171814618055</v>
      </c>
    </row>
    <row r="52" spans="1:4" x14ac:dyDescent="0.35">
      <c r="A52" s="26">
        <v>-7.4425375639581009E-4</v>
      </c>
      <c r="B52">
        <v>9.6535975458624318E-15</v>
      </c>
      <c r="C52" s="26">
        <v>9.810647097537295E-2</v>
      </c>
      <c r="D52" s="26">
        <v>0.13684778665935568</v>
      </c>
    </row>
    <row r="53" spans="1:4" x14ac:dyDescent="0.35">
      <c r="A53" s="26">
        <v>-2.6117797545777768E-2</v>
      </c>
      <c r="B53">
        <v>8.4734768016668611E-15</v>
      </c>
      <c r="C53" s="26">
        <v>6.7735134808058928E-2</v>
      </c>
      <c r="D53" s="26">
        <v>0.1230428567018732</v>
      </c>
    </row>
    <row r="54" spans="1:4" x14ac:dyDescent="0.35">
      <c r="A54" s="26">
        <v>-7.7086543388664067E-2</v>
      </c>
      <c r="B54">
        <v>1.035863714974392E-14</v>
      </c>
      <c r="C54" s="26">
        <v>3.3129273015514049E-2</v>
      </c>
      <c r="D54" s="26">
        <v>0.44617244006689361</v>
      </c>
    </row>
    <row r="55" spans="1:4" x14ac:dyDescent="0.35">
      <c r="A55" s="26">
        <v>-5.3051012957480992E-2</v>
      </c>
      <c r="B55">
        <v>1.0395166106386272E-14</v>
      </c>
      <c r="C55" s="26">
        <v>5.3415706569991346E-2</v>
      </c>
      <c r="D55" s="26">
        <v>0.47675266112873893</v>
      </c>
    </row>
    <row r="56" spans="1:4" x14ac:dyDescent="0.35">
      <c r="A56" s="26">
        <v>-2.1227289174178515E-2</v>
      </c>
      <c r="B56">
        <v>6.1298354563364584E-15</v>
      </c>
      <c r="C56" s="26">
        <v>0.10797183507339338</v>
      </c>
      <c r="D56" s="26">
        <v>0.28658097001409544</v>
      </c>
    </row>
    <row r="57" spans="1:4" x14ac:dyDescent="0.35">
      <c r="A57" s="26">
        <v>-2.4516494057293104E-2</v>
      </c>
      <c r="B57">
        <v>5.5781209140264303E-15</v>
      </c>
      <c r="C57" s="26">
        <v>6.4062788667757303E-2</v>
      </c>
      <c r="D57" s="26">
        <v>0.26446165778183567</v>
      </c>
    </row>
    <row r="58" spans="1:4" x14ac:dyDescent="0.35">
      <c r="A58" s="26">
        <v>-4.2235819836663104E-3</v>
      </c>
      <c r="B58">
        <v>4.3406492951566864E-14</v>
      </c>
      <c r="C58" s="26">
        <v>0.21091731462432461</v>
      </c>
      <c r="D58" s="26">
        <v>0.46478474633332334</v>
      </c>
    </row>
    <row r="59" spans="1:4" x14ac:dyDescent="0.35">
      <c r="A59" s="26">
        <v>-0.10797145836940936</v>
      </c>
      <c r="B59">
        <v>3.7522192031449603E-14</v>
      </c>
      <c r="C59" s="26">
        <v>-7.1559923222090663E-2</v>
      </c>
      <c r="D59" s="26">
        <v>0.41813991612664414</v>
      </c>
    </row>
    <row r="60" spans="1:4" x14ac:dyDescent="0.35">
      <c r="A60" s="26">
        <v>5.5088749279432303E-2</v>
      </c>
      <c r="B60">
        <v>3.8533032056400031E-14</v>
      </c>
      <c r="C60" s="26">
        <v>0.3049254462895773</v>
      </c>
      <c r="D60" s="26">
        <v>0.44350186654007279</v>
      </c>
    </row>
    <row r="61" spans="1:4" x14ac:dyDescent="0.35">
      <c r="A61" s="26">
        <v>2.2449378194686919E-3</v>
      </c>
      <c r="B61">
        <v>3.4977685635671867E-14</v>
      </c>
      <c r="C61" s="26">
        <v>0.14319112479002896</v>
      </c>
      <c r="D61" s="26">
        <v>0.43712232843934884</v>
      </c>
    </row>
    <row r="62" spans="1:4" x14ac:dyDescent="0.35">
      <c r="A62" s="26">
        <v>-2.2681411942302377E-2</v>
      </c>
      <c r="B62">
        <v>9.9628445674700776E-14</v>
      </c>
      <c r="C62" s="26">
        <v>-3.1921651393293851E-2</v>
      </c>
      <c r="D62" s="26">
        <v>0.62876528275449539</v>
      </c>
    </row>
    <row r="63" spans="1:4" x14ac:dyDescent="0.35">
      <c r="A63" s="26">
        <v>-6.2799293753292074E-2</v>
      </c>
      <c r="B63">
        <v>9.7796431251749335E-14</v>
      </c>
      <c r="C63" s="26">
        <v>-1.5913239700422147E-2</v>
      </c>
      <c r="D63" s="26">
        <v>0.61741820942166903</v>
      </c>
    </row>
    <row r="64" spans="1:4" x14ac:dyDescent="0.35">
      <c r="A64" s="26">
        <v>-8.1226606247415956E-2</v>
      </c>
      <c r="B64">
        <v>9.1551717382045689E-14</v>
      </c>
      <c r="C64" s="26">
        <v>9.0521943664932436E-2</v>
      </c>
      <c r="D64" s="26">
        <v>0.53344274373905265</v>
      </c>
    </row>
    <row r="65" spans="1:4" x14ac:dyDescent="0.35">
      <c r="A65" s="26">
        <v>-4.3860281966429078E-3</v>
      </c>
      <c r="B65">
        <v>8.437914960836684E-14</v>
      </c>
      <c r="C65" s="26">
        <v>5.0522015828009638E-3</v>
      </c>
      <c r="D65" s="26">
        <v>0.47807665153832896</v>
      </c>
    </row>
    <row r="66" spans="1:4" x14ac:dyDescent="0.35">
      <c r="A66" s="26">
        <v>-4.4459233618538291E-2</v>
      </c>
      <c r="B66">
        <v>3.4608051701660599E-13</v>
      </c>
      <c r="C66" s="26">
        <v>4.7275982946536441E-2</v>
      </c>
      <c r="D66" s="26">
        <v>0.53963954329830655</v>
      </c>
    </row>
    <row r="67" spans="1:4" x14ac:dyDescent="0.35">
      <c r="A67" s="26">
        <v>-0.20263794680612368</v>
      </c>
      <c r="B67">
        <v>3.4519063152626038E-13</v>
      </c>
      <c r="C67" s="26">
        <v>-0.59593572550440976</v>
      </c>
      <c r="D67" s="26">
        <v>0.5106912442396313</v>
      </c>
    </row>
    <row r="68" spans="1:4" x14ac:dyDescent="0.35">
      <c r="A68" s="26">
        <v>-0.17271468739520365</v>
      </c>
      <c r="B68">
        <v>3.4394696337824708E-13</v>
      </c>
      <c r="C68" s="26">
        <v>0.16807725048797476</v>
      </c>
      <c r="D68" s="26">
        <v>0.48377860133967343</v>
      </c>
    </row>
    <row r="69" spans="1:4" x14ac:dyDescent="0.35">
      <c r="A69" s="26">
        <v>-0.19341229020912609</v>
      </c>
      <c r="B69">
        <v>3.422293573240676E-13</v>
      </c>
      <c r="C69" s="26">
        <v>0.21944636187948258</v>
      </c>
      <c r="D69" s="26">
        <v>0.50250118325800297</v>
      </c>
    </row>
    <row r="70" spans="1:4" x14ac:dyDescent="0.35">
      <c r="A70" s="26">
        <v>-7.1195029349670799E-2</v>
      </c>
      <c r="B70">
        <v>5.6844968631695165E-14</v>
      </c>
      <c r="C70" s="26">
        <v>5.4908662832137911E-2</v>
      </c>
      <c r="D70" s="26">
        <v>0.26574817165815495</v>
      </c>
    </row>
    <row r="71" spans="1:4" x14ac:dyDescent="0.35">
      <c r="A71" s="26">
        <v>-8.4970628931928485E-2</v>
      </c>
      <c r="B71">
        <v>5.2526749912390335E-14</v>
      </c>
      <c r="C71" s="26">
        <v>-2.8878457539648177E-2</v>
      </c>
      <c r="D71" s="26">
        <v>0.31742975856537831</v>
      </c>
    </row>
    <row r="72" spans="1:4" x14ac:dyDescent="0.35">
      <c r="A72" s="26">
        <v>8.5500007688331242E-3</v>
      </c>
      <c r="B72">
        <v>5.0562506584910237E-14</v>
      </c>
      <c r="C72" s="26">
        <v>0.17330827912305524</v>
      </c>
      <c r="D72" s="26">
        <v>0.32242641129432387</v>
      </c>
    </row>
    <row r="73" spans="1:4" x14ac:dyDescent="0.35">
      <c r="A73" s="26">
        <v>1.7597148383419692E-2</v>
      </c>
      <c r="B73">
        <v>5.0206717963643135E-14</v>
      </c>
      <c r="C73" s="26">
        <v>0.1388139259360536</v>
      </c>
      <c r="D73" s="26">
        <v>0.33359888904110108</v>
      </c>
    </row>
    <row r="74" spans="1:4" x14ac:dyDescent="0.35">
      <c r="A74" s="26">
        <v>-5.5366515579152363E-2</v>
      </c>
      <c r="B74">
        <v>2.2759288938614496E-13</v>
      </c>
      <c r="C74" s="26">
        <v>0.12983638311340928</v>
      </c>
      <c r="D74" s="26">
        <v>0.57818013397780421</v>
      </c>
    </row>
    <row r="75" spans="1:4" x14ac:dyDescent="0.35">
      <c r="A75" s="26">
        <v>-6.791448128014628E-2</v>
      </c>
      <c r="B75">
        <v>2.1358011370906267E-13</v>
      </c>
      <c r="C75" s="26">
        <v>-2.6694901828121374E-2</v>
      </c>
      <c r="D75" s="26">
        <v>0.51995781216738934</v>
      </c>
    </row>
    <row r="76" spans="1:4" x14ac:dyDescent="0.35">
      <c r="A76" s="26">
        <v>-8.0859092913854166E-2</v>
      </c>
      <c r="B76">
        <v>2.2460974030744218E-13</v>
      </c>
      <c r="C76" s="26">
        <v>1.6977956351148633E-2</v>
      </c>
      <c r="D76" s="26">
        <v>0.55992145263927329</v>
      </c>
    </row>
    <row r="77" spans="1:4" x14ac:dyDescent="0.35">
      <c r="A77" s="26">
        <v>-7.0225242306988803E-2</v>
      </c>
      <c r="B77">
        <v>2.3859034585901324E-13</v>
      </c>
      <c r="C77" s="26">
        <v>0.15450128073088393</v>
      </c>
      <c r="D77" s="26">
        <v>0.59496998411462265</v>
      </c>
    </row>
    <row r="78" spans="1:4" x14ac:dyDescent="0.35">
      <c r="A78" s="26">
        <v>2.3399723470463846E-2</v>
      </c>
      <c r="B78">
        <v>5.645360788238734E-13</v>
      </c>
      <c r="C78" s="26">
        <v>8.5128605723399225E-2</v>
      </c>
      <c r="D78" s="26">
        <v>0.340303794870424</v>
      </c>
    </row>
    <row r="79" spans="1:4" x14ac:dyDescent="0.35">
      <c r="A79" s="26">
        <v>-7.8509525501488306E-3</v>
      </c>
      <c r="B79">
        <v>5.4933484117827146E-13</v>
      </c>
      <c r="C79" s="26">
        <v>0.58274832633626017</v>
      </c>
      <c r="D79" s="26">
        <v>0.24211845318482234</v>
      </c>
    </row>
    <row r="80" spans="1:4" x14ac:dyDescent="0.35">
      <c r="A80" s="26">
        <v>4.2222847204940121E-2</v>
      </c>
      <c r="B80">
        <v>5.6539961940989028E-13</v>
      </c>
      <c r="C80" s="26">
        <v>0.38580453162610628</v>
      </c>
      <c r="D80" s="26">
        <v>0.24897564262411739</v>
      </c>
    </row>
    <row r="81" spans="1:4" x14ac:dyDescent="0.35">
      <c r="A81" s="26">
        <v>-7.894871495011899E-3</v>
      </c>
      <c r="B81">
        <v>5.0750392253414435E-13</v>
      </c>
      <c r="C81" s="26">
        <v>-2.313770714747224E-2</v>
      </c>
      <c r="D81" s="26">
        <v>0.21388532673195021</v>
      </c>
    </row>
    <row r="82" spans="1:4" x14ac:dyDescent="0.35">
      <c r="A82" s="26">
        <v>-1.3971565038796986E-2</v>
      </c>
      <c r="B82">
        <v>1.3381619113928724E-12</v>
      </c>
      <c r="C82" s="26">
        <v>0.3159218561892434</v>
      </c>
      <c r="D82" s="26">
        <v>0.48220168337990832</v>
      </c>
    </row>
    <row r="83" spans="1:4" x14ac:dyDescent="0.35">
      <c r="A83" s="26">
        <v>-7.2649842404171244E-2</v>
      </c>
      <c r="B83">
        <v>1.2644694122725153E-12</v>
      </c>
      <c r="C83" s="26">
        <v>-3.4665991171130478E-2</v>
      </c>
      <c r="D83" s="26">
        <v>0.44879927378346723</v>
      </c>
    </row>
    <row r="84" spans="1:4" x14ac:dyDescent="0.35">
      <c r="A84" s="26">
        <v>-5.5894404458982375E-2</v>
      </c>
      <c r="B84">
        <v>1.2922183192092845E-12</v>
      </c>
      <c r="C84" s="26">
        <v>0.13328624871240982</v>
      </c>
      <c r="D84" s="26">
        <v>0.53370975388067143</v>
      </c>
    </row>
    <row r="85" spans="1:4" x14ac:dyDescent="0.35">
      <c r="A85" s="26">
        <v>6.5739846192574156E-2</v>
      </c>
      <c r="B85">
        <v>1.1247009339901626E-12</v>
      </c>
      <c r="C85" s="26">
        <v>0.20521820789755682</v>
      </c>
      <c r="D85" s="26">
        <v>0.49348124349203093</v>
      </c>
    </row>
    <row r="86" spans="1:4" x14ac:dyDescent="0.35">
      <c r="A86" s="26">
        <v>-0.10942119001811991</v>
      </c>
      <c r="B86">
        <v>3.411768759866409E-14</v>
      </c>
      <c r="C86" s="26">
        <v>-4.0720858974197131E-2</v>
      </c>
      <c r="D86" s="26">
        <v>0.41002510720630386</v>
      </c>
    </row>
    <row r="87" spans="1:4" x14ac:dyDescent="0.35">
      <c r="A87" s="26">
        <v>3.2975874391413099E-2</v>
      </c>
      <c r="B87">
        <v>3.5987369440972565E-14</v>
      </c>
      <c r="C87" s="26">
        <v>0.15245127787010337</v>
      </c>
      <c r="D87" s="26">
        <v>0.44082066029121625</v>
      </c>
    </row>
    <row r="88" spans="1:4" x14ac:dyDescent="0.35">
      <c r="A88" s="26">
        <v>6.2208284199834464E-2</v>
      </c>
      <c r="B88">
        <v>2.8550080452699209E-14</v>
      </c>
      <c r="C88" s="26">
        <v>0.47307163549221526</v>
      </c>
      <c r="D88" s="26">
        <v>0.34271208234551243</v>
      </c>
    </row>
    <row r="89" spans="1:4" x14ac:dyDescent="0.35">
      <c r="A89" s="26">
        <v>3.0280899966719545E-2</v>
      </c>
      <c r="B89">
        <v>2.4786217019242754E-14</v>
      </c>
      <c r="C89" s="26">
        <v>0.44717619676468978</v>
      </c>
      <c r="D89" s="26">
        <v>0.30706712303379924</v>
      </c>
    </row>
    <row r="90" spans="1:4" x14ac:dyDescent="0.35">
      <c r="A90" s="26">
        <v>1.1881149590179119E-4</v>
      </c>
      <c r="B90">
        <v>8.852603210903384E-14</v>
      </c>
      <c r="C90" s="26">
        <v>-3.8329448094868789E-2</v>
      </c>
      <c r="D90" s="26">
        <v>0.41097269481128879</v>
      </c>
    </row>
    <row r="91" spans="1:4" x14ac:dyDescent="0.35">
      <c r="A91" s="26">
        <v>-4.3547073683962944E-4</v>
      </c>
      <c r="B91">
        <v>8.4422348870860877E-14</v>
      </c>
      <c r="C91" s="26">
        <v>6.190891463970085E-2</v>
      </c>
      <c r="D91" s="26">
        <v>0.38252795609760143</v>
      </c>
    </row>
    <row r="92" spans="1:4" x14ac:dyDescent="0.35">
      <c r="A92" s="26">
        <v>3.227271909723281E-2</v>
      </c>
      <c r="B92">
        <v>7.8272188042822779E-14</v>
      </c>
      <c r="C92" s="26">
        <v>9.3298101468575048E-2</v>
      </c>
      <c r="D92" s="26">
        <v>0.34445434059807734</v>
      </c>
    </row>
    <row r="93" spans="1:4" x14ac:dyDescent="0.35">
      <c r="A93" s="26">
        <v>2.8295353406785198E-2</v>
      </c>
      <c r="B93">
        <v>7.2198985785671317E-14</v>
      </c>
      <c r="C93" s="26">
        <v>0.14859402450194281</v>
      </c>
      <c r="D93" s="26">
        <v>0.31942155043885878</v>
      </c>
    </row>
    <row r="94" spans="1:4" x14ac:dyDescent="0.35">
      <c r="A94" s="26">
        <v>-6.586939431709943E-3</v>
      </c>
      <c r="B94">
        <v>3.8005619974204685E-13</v>
      </c>
      <c r="C94" s="26">
        <v>0.26054822911015435</v>
      </c>
      <c r="D94" s="26">
        <v>0.42738090707761545</v>
      </c>
    </row>
    <row r="95" spans="1:4" x14ac:dyDescent="0.35">
      <c r="A95" s="26">
        <v>-0.10328310716509409</v>
      </c>
      <c r="B95">
        <v>3.4703387393061269E-13</v>
      </c>
      <c r="C95" s="26">
        <v>0.11583681364836936</v>
      </c>
      <c r="D95" s="26">
        <v>0.5340811552430923</v>
      </c>
    </row>
    <row r="96" spans="1:4" x14ac:dyDescent="0.35">
      <c r="A96" s="26">
        <v>-2.1192411795597269E-3</v>
      </c>
      <c r="B96">
        <v>2.899395280763936E-13</v>
      </c>
      <c r="C96" s="26">
        <v>0.11468751109215365</v>
      </c>
      <c r="D96" s="26">
        <v>0.45019004742474827</v>
      </c>
    </row>
    <row r="97" spans="1:4" x14ac:dyDescent="0.35">
      <c r="A97" s="26">
        <v>-1.3436854210514073E-2</v>
      </c>
      <c r="B97">
        <v>2.5515126914580956E-13</v>
      </c>
      <c r="C97" s="26">
        <v>0.17597702850628519</v>
      </c>
      <c r="D97" s="26">
        <v>0.40448456075688355</v>
      </c>
    </row>
    <row r="98" spans="1:4" x14ac:dyDescent="0.35">
      <c r="A98" s="26">
        <v>-2.8420525540033374E-2</v>
      </c>
      <c r="B98">
        <v>6.1199825017460313E-14</v>
      </c>
      <c r="C98" s="26">
        <v>-5.0003929028766122E-3</v>
      </c>
      <c r="D98" s="26">
        <v>0.39729665684939874</v>
      </c>
    </row>
    <row r="99" spans="1:4" x14ac:dyDescent="0.35">
      <c r="A99" s="26">
        <v>3.7003679605423091E-2</v>
      </c>
      <c r="B99">
        <v>5.7593723850649568E-14</v>
      </c>
      <c r="C99" s="26">
        <v>0.13419758091385459</v>
      </c>
      <c r="D99" s="26">
        <v>0.37523422647568511</v>
      </c>
    </row>
    <row r="100" spans="1:4" x14ac:dyDescent="0.35">
      <c r="A100" s="26">
        <v>-3.8084650362690736E-2</v>
      </c>
      <c r="B100">
        <v>5.1463379199726953E-14</v>
      </c>
      <c r="C100" s="26">
        <v>0.26292434579623702</v>
      </c>
      <c r="D100" s="26">
        <v>0.34208361738974347</v>
      </c>
    </row>
    <row r="101" spans="1:4" x14ac:dyDescent="0.35">
      <c r="A101" s="26">
        <v>-1.0518346669896917E-2</v>
      </c>
      <c r="B101">
        <v>4.7429292055683698E-14</v>
      </c>
      <c r="C101" s="26">
        <v>2.8824867671089431E-2</v>
      </c>
      <c r="D101" s="26">
        <v>0.32774323792283033</v>
      </c>
    </row>
    <row r="102" spans="1:4" x14ac:dyDescent="0.35">
      <c r="A102" s="26">
        <v>-0.18460443514928154</v>
      </c>
      <c r="B102">
        <v>2.8690202633403844E-13</v>
      </c>
      <c r="C102" s="26">
        <v>0.1239231228541896</v>
      </c>
      <c r="D102" s="26">
        <v>2.4928537472397087E-2</v>
      </c>
    </row>
    <row r="103" spans="1:4" x14ac:dyDescent="0.35">
      <c r="A103" s="26">
        <v>-0.10787859955231457</v>
      </c>
      <c r="B103">
        <v>3.3379258308545921E-13</v>
      </c>
      <c r="C103" s="26">
        <v>-0.29479226189822755</v>
      </c>
      <c r="D103" s="26">
        <v>2.524650348626915E-2</v>
      </c>
    </row>
    <row r="104" spans="1:4" x14ac:dyDescent="0.35">
      <c r="A104" s="26">
        <v>0.12194558474282592</v>
      </c>
      <c r="B104">
        <v>2.9744587410353221E-13</v>
      </c>
      <c r="C104" s="26">
        <v>-0.16738277614070668</v>
      </c>
      <c r="D104" s="26">
        <v>2.3290486817916484E-2</v>
      </c>
    </row>
    <row r="105" spans="1:4" x14ac:dyDescent="0.35">
      <c r="A105" s="26">
        <v>-5.1674721769126124E-2</v>
      </c>
      <c r="B105">
        <v>2.9377539807289869E-13</v>
      </c>
      <c r="C105" s="26">
        <v>0.30886937649126073</v>
      </c>
      <c r="D105" s="26">
        <v>4.9509310401375121E-2</v>
      </c>
    </row>
    <row r="106" spans="1:4" x14ac:dyDescent="0.35">
      <c r="A106" s="26">
        <v>-1.0970737081548511E-2</v>
      </c>
      <c r="B106">
        <v>1.7998978018028136E-13</v>
      </c>
      <c r="C106" s="26">
        <v>0.13502383334674256</v>
      </c>
      <c r="D106" s="26">
        <v>0.28018397115411786</v>
      </c>
    </row>
    <row r="107" spans="1:4" x14ac:dyDescent="0.35">
      <c r="A107" s="26">
        <v>-1.6251534783946909E-2</v>
      </c>
      <c r="B107">
        <v>1.5132205540142564E-13</v>
      </c>
      <c r="C107" s="26">
        <v>-3.8692292955867527E-2</v>
      </c>
      <c r="D107" s="26">
        <v>0.25957800515766094</v>
      </c>
    </row>
    <row r="108" spans="1:4" x14ac:dyDescent="0.35">
      <c r="A108" s="26">
        <v>-1.5724488914700241E-2</v>
      </c>
      <c r="B108">
        <v>1.1423197956252807E-13</v>
      </c>
      <c r="C108" s="26">
        <v>7.4168539690358221E-2</v>
      </c>
      <c r="D108" s="26">
        <v>0.24735255964165884</v>
      </c>
    </row>
    <row r="109" spans="1:4" x14ac:dyDescent="0.35">
      <c r="A109" s="26">
        <v>9.5268491786528589E-2</v>
      </c>
      <c r="B109">
        <v>1.3501005014813303E-13</v>
      </c>
      <c r="C109" s="26">
        <v>0.14035779823450056</v>
      </c>
      <c r="D109" s="26">
        <v>0.30514742017395774</v>
      </c>
    </row>
    <row r="110" spans="1:4" x14ac:dyDescent="0.35">
      <c r="A110" s="26">
        <v>-0.10526721777326523</v>
      </c>
      <c r="B110">
        <v>1.4472362483937307E-14</v>
      </c>
      <c r="C110" s="26">
        <v>0.21442478025056261</v>
      </c>
      <c r="D110" s="26">
        <v>0.36722147963726298</v>
      </c>
    </row>
    <row r="111" spans="1:4" x14ac:dyDescent="0.35">
      <c r="A111" s="26">
        <v>-7.1615006007709814E-2</v>
      </c>
      <c r="B111">
        <v>1.2714998869509451E-14</v>
      </c>
      <c r="C111" s="26">
        <v>5.0268646310614659E-2</v>
      </c>
      <c r="D111" s="26">
        <v>0.35099802696276544</v>
      </c>
    </row>
    <row r="112" spans="1:4" x14ac:dyDescent="0.35">
      <c r="A112" s="26">
        <v>-5.0181932391063576E-2</v>
      </c>
      <c r="B112">
        <v>1.2789128790350869E-14</v>
      </c>
      <c r="C112" s="26">
        <v>0.13305752042401486</v>
      </c>
      <c r="D112" s="26">
        <v>0.38086194354164921</v>
      </c>
    </row>
    <row r="113" spans="1:4" x14ac:dyDescent="0.35">
      <c r="A113" s="26">
        <v>-2.1263562688912985E-2</v>
      </c>
      <c r="B113">
        <v>1.1115511742209851E-14</v>
      </c>
      <c r="C113" s="26">
        <v>-2.2072516286975792E-3</v>
      </c>
      <c r="D113" s="26">
        <v>0.36043646346255148</v>
      </c>
    </row>
    <row r="114" spans="1:4" x14ac:dyDescent="0.35">
      <c r="A114" s="26">
        <v>-9.383768806751314E-3</v>
      </c>
      <c r="B114">
        <v>7.9644853115002016E-13</v>
      </c>
      <c r="C114" s="26">
        <v>-9.4060998783631923E-3</v>
      </c>
      <c r="D114" s="26">
        <v>0.26208065874149644</v>
      </c>
    </row>
    <row r="115" spans="1:4" x14ac:dyDescent="0.35">
      <c r="A115" s="26">
        <v>-9.988187693949116E-2</v>
      </c>
      <c r="B115">
        <v>7.6951394529805324E-13</v>
      </c>
      <c r="C115" s="26">
        <v>0.46208748470466321</v>
      </c>
      <c r="D115" s="26">
        <v>0.23001155197421971</v>
      </c>
    </row>
    <row r="116" spans="1:4" x14ac:dyDescent="0.35">
      <c r="A116" s="26">
        <v>-8.6017270172890695E-2</v>
      </c>
      <c r="B116">
        <v>6.1940905609311987E-13</v>
      </c>
      <c r="C116" s="26">
        <v>0.45813038087165381</v>
      </c>
      <c r="D116" s="26">
        <v>0.17233123264117911</v>
      </c>
    </row>
    <row r="117" spans="1:4" x14ac:dyDescent="0.35">
      <c r="A117" s="26">
        <v>-9.5082532333949102E-2</v>
      </c>
      <c r="B117">
        <v>5.2877326847041623E-13</v>
      </c>
      <c r="C117" s="26">
        <v>0.51325831579805559</v>
      </c>
      <c r="D117" s="26">
        <v>0.13771063619100535</v>
      </c>
    </row>
    <row r="118" spans="1:4" x14ac:dyDescent="0.35">
      <c r="A118" s="26">
        <v>-0.19706279201809693</v>
      </c>
      <c r="B118">
        <v>2.1458113119447444E-14</v>
      </c>
      <c r="C118" s="26">
        <v>-1.4735608150821353E-2</v>
      </c>
      <c r="D118" s="26">
        <v>0.15659942123177295</v>
      </c>
    </row>
    <row r="119" spans="1:4" x14ac:dyDescent="0.35">
      <c r="A119" s="26">
        <v>-0.11789703695312985</v>
      </c>
      <c r="B119">
        <v>1.9645282423134003E-14</v>
      </c>
      <c r="C119" s="26">
        <v>-0.26776453148771406</v>
      </c>
      <c r="D119" s="26">
        <v>0.12932112229726589</v>
      </c>
    </row>
    <row r="120" spans="1:4" x14ac:dyDescent="0.35">
      <c r="A120" s="26">
        <v>-0.10311279354624539</v>
      </c>
      <c r="B120">
        <v>2.0131243629719595E-14</v>
      </c>
      <c r="C120" s="26">
        <v>0.12983794550190511</v>
      </c>
      <c r="D120" s="26">
        <v>0.12156539342590082</v>
      </c>
    </row>
    <row r="121" spans="1:4" x14ac:dyDescent="0.35">
      <c r="A121" s="26">
        <v>-8.2395813422336692E-2</v>
      </c>
      <c r="B121">
        <v>1.8835787121550424E-14</v>
      </c>
      <c r="C121" s="26">
        <v>0.2323683847491303</v>
      </c>
      <c r="D121" s="26">
        <v>0.12615134690569832</v>
      </c>
    </row>
    <row r="122" spans="1:4" x14ac:dyDescent="0.35">
      <c r="A122" s="26">
        <v>-0.24026828726057123</v>
      </c>
      <c r="B122">
        <v>4.919596815426911E-14</v>
      </c>
      <c r="C122" s="26">
        <v>5.5123590357176996E-2</v>
      </c>
      <c r="D122" s="26">
        <v>0.52715329645701947</v>
      </c>
    </row>
    <row r="123" spans="1:4" x14ac:dyDescent="0.35">
      <c r="A123" s="26">
        <v>-0.2479592719797615</v>
      </c>
      <c r="B123">
        <v>4.842762522887501E-14</v>
      </c>
      <c r="C123" s="26">
        <v>2.4170712027983808E-3</v>
      </c>
      <c r="D123" s="26">
        <v>0.50461110897760519</v>
      </c>
    </row>
    <row r="124" spans="1:4" x14ac:dyDescent="0.35">
      <c r="A124" s="26">
        <v>-0.19575242448951605</v>
      </c>
      <c r="B124">
        <v>4.8698218697077213E-14</v>
      </c>
      <c r="C124" s="26">
        <v>-0.16686517683881552</v>
      </c>
      <c r="D124" s="26">
        <v>0.49195359332468191</v>
      </c>
    </row>
    <row r="125" spans="1:4" x14ac:dyDescent="0.35">
      <c r="A125" s="26">
        <v>-0.1959101518669607</v>
      </c>
      <c r="B125">
        <v>5.2442421891732408E-14</v>
      </c>
      <c r="C125" s="26">
        <v>8.7732081315960761E-2</v>
      </c>
      <c r="D125" s="26">
        <v>0.50009235110495132</v>
      </c>
    </row>
    <row r="126" spans="1:4" x14ac:dyDescent="0.35">
      <c r="A126" s="26">
        <v>-2.3188219674138189E-2</v>
      </c>
      <c r="B126">
        <v>1.0133779197309109E-12</v>
      </c>
      <c r="C126" s="26">
        <v>1.0732033090576725E-2</v>
      </c>
      <c r="D126" s="26">
        <v>0.30129665522031651</v>
      </c>
    </row>
    <row r="127" spans="1:4" x14ac:dyDescent="0.35">
      <c r="A127" s="26">
        <v>8.0072112240696918E-3</v>
      </c>
      <c r="B127">
        <v>1.0394738648653533E-12</v>
      </c>
      <c r="C127" s="26">
        <v>-0.21093243473715742</v>
      </c>
      <c r="D127" s="26">
        <v>0.40095314972514429</v>
      </c>
    </row>
    <row r="128" spans="1:4" x14ac:dyDescent="0.35">
      <c r="A128" s="26">
        <v>-9.5467528282073347E-3</v>
      </c>
      <c r="B128">
        <v>1.0287903277264417E-12</v>
      </c>
      <c r="C128" s="26">
        <v>0.12971443859902215</v>
      </c>
      <c r="D128" s="26">
        <v>0.42769097797787153</v>
      </c>
    </row>
    <row r="129" spans="1:4" x14ac:dyDescent="0.35">
      <c r="A129" s="26">
        <v>1.0155906294761687E-2</v>
      </c>
      <c r="B129">
        <v>9.3738417878201292E-13</v>
      </c>
      <c r="C129" s="26">
        <v>-1.0765581430521444E-3</v>
      </c>
      <c r="D129" s="26">
        <v>0.38749570232991343</v>
      </c>
    </row>
    <row r="130" spans="1:4" x14ac:dyDescent="0.35">
      <c r="A130" s="26">
        <v>-3.321879106934849E-2</v>
      </c>
      <c r="B130">
        <v>2.1793626784774734E-13</v>
      </c>
      <c r="C130" s="26">
        <v>7.5861021557486301E-3</v>
      </c>
      <c r="D130" s="26">
        <v>0.51500418971901762</v>
      </c>
    </row>
    <row r="131" spans="1:4" x14ac:dyDescent="0.35">
      <c r="A131" s="26">
        <v>-3.9238257797364437E-2</v>
      </c>
      <c r="B131">
        <v>1.813110133280795E-13</v>
      </c>
      <c r="C131" s="26">
        <v>0.15091103003449258</v>
      </c>
      <c r="D131" s="26">
        <v>0.42325345288736527</v>
      </c>
    </row>
    <row r="132" spans="1:4" x14ac:dyDescent="0.35">
      <c r="A132" s="26">
        <v>-6.2928304794995837E-2</v>
      </c>
      <c r="B132">
        <v>1.6809528647161832E-13</v>
      </c>
      <c r="C132" s="26">
        <v>0.41144903724827603</v>
      </c>
      <c r="D132" s="26">
        <v>0.37854793166509937</v>
      </c>
    </row>
    <row r="133" spans="1:4" x14ac:dyDescent="0.35">
      <c r="A133" s="26">
        <v>-1.7705882089204233E-2</v>
      </c>
      <c r="B133">
        <v>1.470364485037143E-13</v>
      </c>
      <c r="C133" s="26">
        <v>-0.13080833325604715</v>
      </c>
      <c r="D133" s="26">
        <v>0.29449663386377511</v>
      </c>
    </row>
    <row r="134" spans="1:4" x14ac:dyDescent="0.35">
      <c r="A134" s="26">
        <v>-8.4570135803314572E-2</v>
      </c>
      <c r="B134">
        <v>5.9424000583344025E-13</v>
      </c>
      <c r="C134" s="26">
        <v>6.7364819084976171E-2</v>
      </c>
      <c r="D134" s="26">
        <v>0.23349095444505663</v>
      </c>
    </row>
    <row r="135" spans="1:4" x14ac:dyDescent="0.35">
      <c r="A135" s="26">
        <v>-6.0152548717502141E-2</v>
      </c>
      <c r="B135">
        <v>5.4645981869969261E-13</v>
      </c>
      <c r="C135" s="26">
        <v>9.11455577838159E-3</v>
      </c>
      <c r="D135" s="26">
        <v>0.23742245539813267</v>
      </c>
    </row>
    <row r="136" spans="1:4" x14ac:dyDescent="0.35">
      <c r="A136" s="26">
        <v>-4.1022290221659277E-2</v>
      </c>
      <c r="B136">
        <v>5.0334425142046973E-13</v>
      </c>
      <c r="C136" s="26">
        <v>3.5835113286120233E-2</v>
      </c>
      <c r="D136" s="26">
        <v>0.20149666775635999</v>
      </c>
    </row>
    <row r="137" spans="1:4" x14ac:dyDescent="0.35">
      <c r="A137" s="26">
        <v>-4.689436557779679E-2</v>
      </c>
      <c r="B137">
        <v>4.8009725111091404E-13</v>
      </c>
      <c r="C137" s="26">
        <v>-0.90341012970738466</v>
      </c>
      <c r="D137" s="26">
        <v>0.19135588816968369</v>
      </c>
    </row>
    <row r="138" spans="1:4" x14ac:dyDescent="0.35">
      <c r="A138" s="26">
        <v>-9.217281063369008E-2</v>
      </c>
      <c r="B138">
        <v>5.5107937823973461E-14</v>
      </c>
      <c r="C138" s="26">
        <v>8.5922653061500015E-2</v>
      </c>
      <c r="D138" s="26">
        <v>0.42247479343578825</v>
      </c>
    </row>
    <row r="139" spans="1:4" x14ac:dyDescent="0.35">
      <c r="A139" s="26">
        <v>-9.7292821672534266E-2</v>
      </c>
      <c r="B139">
        <v>4.9346828446346395E-14</v>
      </c>
      <c r="C139" s="26">
        <v>2.3645945658943804E-2</v>
      </c>
      <c r="D139" s="26">
        <v>0.40255968652319579</v>
      </c>
    </row>
    <row r="140" spans="1:4" x14ac:dyDescent="0.35">
      <c r="A140" s="26">
        <v>-0.10285055149709538</v>
      </c>
      <c r="B140">
        <v>4.4317793414140244E-14</v>
      </c>
      <c r="C140" s="26">
        <v>0.13953632405187835</v>
      </c>
      <c r="D140" s="26">
        <v>0.35427742722741479</v>
      </c>
    </row>
    <row r="141" spans="1:4" x14ac:dyDescent="0.35">
      <c r="A141" s="26">
        <v>-9.5114529207601911E-2</v>
      </c>
      <c r="B141">
        <v>3.896108679269846E-14</v>
      </c>
      <c r="C141" s="26">
        <v>0.10411602916142626</v>
      </c>
      <c r="D141" s="26">
        <v>0.30999722487589138</v>
      </c>
    </row>
    <row r="142" spans="1:4" x14ac:dyDescent="0.35">
      <c r="A142" s="26">
        <v>-2.4237257712120323E-2</v>
      </c>
      <c r="B142">
        <v>7.916943729678794E-13</v>
      </c>
      <c r="C142" s="26">
        <v>0.10503920205713169</v>
      </c>
      <c r="D142" s="26">
        <v>0.15064735000271223</v>
      </c>
    </row>
    <row r="143" spans="1:4" x14ac:dyDescent="0.35">
      <c r="A143" s="26">
        <v>-4.1955723960286968E-2</v>
      </c>
      <c r="B143">
        <v>1.1098027941917797E-12</v>
      </c>
      <c r="C143" s="26">
        <v>-9.8536510158037188E-2</v>
      </c>
      <c r="D143" s="26">
        <v>0.24144888013162741</v>
      </c>
    </row>
    <row r="144" spans="1:4" x14ac:dyDescent="0.35">
      <c r="A144" s="26">
        <v>-7.831165725992742E-2</v>
      </c>
      <c r="B144">
        <v>1.0753832402937204E-12</v>
      </c>
      <c r="C144" s="26">
        <v>0.43934533868671444</v>
      </c>
      <c r="D144" s="26">
        <v>0.25020333937768258</v>
      </c>
    </row>
    <row r="145" spans="1:4" x14ac:dyDescent="0.35">
      <c r="A145" s="26">
        <v>-0.11877724307236866</v>
      </c>
      <c r="B145">
        <v>9.7440542331608309E-13</v>
      </c>
      <c r="C145" s="26">
        <v>5.8664003481527192E-2</v>
      </c>
      <c r="D145" s="26">
        <v>0.21295341225602815</v>
      </c>
    </row>
    <row r="146" spans="1:4" x14ac:dyDescent="0.35">
      <c r="A146" s="26">
        <v>-4.0116228071374813E-2</v>
      </c>
      <c r="B146">
        <v>5.3514181412730359E-13</v>
      </c>
      <c r="C146" s="26">
        <v>4.4122749211055676E-2</v>
      </c>
      <c r="D146" s="26">
        <v>0.34476277946292211</v>
      </c>
    </row>
    <row r="147" spans="1:4" x14ac:dyDescent="0.35">
      <c r="A147" s="26">
        <v>-1.5856638941987453E-2</v>
      </c>
      <c r="B147">
        <v>4.7693559039222415E-13</v>
      </c>
      <c r="C147" s="26">
        <v>-5.9551868076105449E-2</v>
      </c>
      <c r="D147" s="26">
        <v>0.31031908145181369</v>
      </c>
    </row>
    <row r="148" spans="1:4" x14ac:dyDescent="0.35">
      <c r="A148" s="26">
        <v>-5.063601670546842E-3</v>
      </c>
      <c r="B148">
        <v>5.2192356233708237E-13</v>
      </c>
      <c r="C148" s="26">
        <v>3.6997955168723208E-2</v>
      </c>
      <c r="D148" s="26">
        <v>0.32145615682237277</v>
      </c>
    </row>
    <row r="149" spans="1:4" x14ac:dyDescent="0.35">
      <c r="A149" s="26">
        <v>-7.2276893984413006E-3</v>
      </c>
      <c r="B149">
        <v>5.4391004888713015E-13</v>
      </c>
      <c r="C149" s="26">
        <v>6.3653843060985343E-2</v>
      </c>
      <c r="D149" s="26">
        <v>0.31704740351051913</v>
      </c>
    </row>
    <row r="150" spans="1:4" x14ac:dyDescent="0.35">
      <c r="A150" s="26">
        <v>-3.2966465832942403E-2</v>
      </c>
      <c r="B150">
        <v>5.3459593815958316E-12</v>
      </c>
      <c r="C150" s="26">
        <v>-1.7807822530656683E-2</v>
      </c>
      <c r="D150" s="26">
        <v>0.47257152859965013</v>
      </c>
    </row>
    <row r="151" spans="1:4" x14ac:dyDescent="0.35">
      <c r="A151" s="26">
        <v>-7.6349962015663672E-2</v>
      </c>
      <c r="B151">
        <v>5.2414690200752495E-12</v>
      </c>
      <c r="C151" s="26">
        <v>0.15872892191618887</v>
      </c>
      <c r="D151" s="26">
        <v>0.44324437717840121</v>
      </c>
    </row>
    <row r="152" spans="1:4" x14ac:dyDescent="0.35">
      <c r="A152" s="26">
        <v>-9.3910985376785047E-3</v>
      </c>
      <c r="B152">
        <v>4.3749243519197717E-12</v>
      </c>
      <c r="C152" s="26">
        <v>1.5449265484502033</v>
      </c>
      <c r="D152" s="26">
        <v>1.6207089135954453</v>
      </c>
    </row>
    <row r="153" spans="1:4" x14ac:dyDescent="0.35">
      <c r="A153" s="26">
        <v>-0.18863313233919818</v>
      </c>
      <c r="B153">
        <v>1.2403538067839772E-12</v>
      </c>
      <c r="C153" s="26">
        <v>0.14995231440837212</v>
      </c>
      <c r="D153" s="26">
        <v>1.0337769543116142</v>
      </c>
    </row>
    <row r="154" spans="1:4" x14ac:dyDescent="0.35">
      <c r="A154" s="26">
        <v>-0.1622538521369068</v>
      </c>
      <c r="B154">
        <v>2.9961397735158022E-13</v>
      </c>
      <c r="C154" s="26">
        <v>9.1125194299664314E-2</v>
      </c>
      <c r="D154" s="26">
        <v>0.47730274314573107</v>
      </c>
    </row>
    <row r="155" spans="1:4" x14ac:dyDescent="0.35">
      <c r="A155" s="26">
        <v>-0.18900290593621868</v>
      </c>
      <c r="B155">
        <v>2.8273362703702507E-13</v>
      </c>
      <c r="C155" s="26">
        <v>7.5766109172500873E-2</v>
      </c>
      <c r="D155" s="26">
        <v>0.44340096887159314</v>
      </c>
    </row>
    <row r="156" spans="1:4" x14ac:dyDescent="0.35">
      <c r="A156" s="26">
        <v>-0.23602058024956904</v>
      </c>
      <c r="B156">
        <v>2.5977291690695661E-13</v>
      </c>
      <c r="C156" s="26">
        <v>0.17809225887098534</v>
      </c>
      <c r="D156" s="26">
        <v>0.41254562911285469</v>
      </c>
    </row>
    <row r="157" spans="1:4" x14ac:dyDescent="0.35">
      <c r="A157" s="26">
        <v>-0.194048125201218</v>
      </c>
      <c r="B157">
        <v>2.4576244110917506E-13</v>
      </c>
      <c r="C157" s="26">
        <v>-3.8205491807509026E-2</v>
      </c>
      <c r="D157" s="26">
        <v>0.39588323334898023</v>
      </c>
    </row>
    <row r="158" spans="1:4" x14ac:dyDescent="0.35">
      <c r="A158" s="26">
        <v>-5.0074988961867885E-2</v>
      </c>
      <c r="B158">
        <v>1.2706520571344437E-13</v>
      </c>
      <c r="C158" s="26">
        <v>0.11508590815400653</v>
      </c>
      <c r="D158" s="26">
        <v>0.30117173588003948</v>
      </c>
    </row>
    <row r="159" spans="1:4" x14ac:dyDescent="0.35">
      <c r="A159" s="26">
        <v>-7.2173366609758677E-2</v>
      </c>
      <c r="B159">
        <v>1.1943479279543962E-13</v>
      </c>
      <c r="C159" s="26">
        <v>-3.0384172472046529E-3</v>
      </c>
      <c r="D159" s="26">
        <v>0.28890471617580854</v>
      </c>
    </row>
    <row r="160" spans="1:4" x14ac:dyDescent="0.35">
      <c r="A160" s="26">
        <v>-7.218995941432281E-2</v>
      </c>
      <c r="B160">
        <v>1.0983389505154722E-13</v>
      </c>
      <c r="C160" s="26">
        <v>2.9220309761024525E-2</v>
      </c>
      <c r="D160" s="26">
        <v>0.27558196054447215</v>
      </c>
    </row>
    <row r="161" spans="1:4" x14ac:dyDescent="0.35">
      <c r="A161" s="26">
        <v>-7.7271624972507488E-2</v>
      </c>
      <c r="B161">
        <v>1.0368790222119383E-13</v>
      </c>
      <c r="C161" s="26">
        <v>0.10575401996872852</v>
      </c>
      <c r="D161" s="26">
        <v>0.30331468361240388</v>
      </c>
    </row>
  </sheetData>
  <mergeCells count="7">
    <mergeCell ref="F9:L9"/>
    <mergeCell ref="F2:L2"/>
    <mergeCell ref="F3:G4"/>
    <mergeCell ref="H3:I3"/>
    <mergeCell ref="K3:K4"/>
    <mergeCell ref="L3:L4"/>
    <mergeCell ref="F5:F8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7D3BB-A326-4E69-9433-C22B9A008552}">
  <dimension ref="A1:F162"/>
  <sheetViews>
    <sheetView zoomScale="86" zoomScaleNormal="72" workbookViewId="0">
      <pane ySplit="1000" topLeftCell="A3" activePane="bottomLeft"/>
      <selection sqref="A1:F1"/>
      <selection pane="bottomLeft" activeCell="A12" sqref="A12"/>
    </sheetView>
  </sheetViews>
  <sheetFormatPr defaultRowHeight="14.5" x14ac:dyDescent="0.35"/>
  <cols>
    <col min="1" max="1" width="8.7265625" style="1"/>
    <col min="2" max="2" width="13.26953125" customWidth="1"/>
    <col min="4" max="5" width="22.453125" style="14" customWidth="1"/>
    <col min="6" max="6" width="18" customWidth="1"/>
  </cols>
  <sheetData>
    <row r="1" spans="1:6" x14ac:dyDescent="0.35">
      <c r="A1" s="87" t="s">
        <v>45</v>
      </c>
      <c r="B1" s="88"/>
      <c r="C1" s="88"/>
      <c r="D1" s="88"/>
      <c r="E1" s="88"/>
      <c r="F1" s="89"/>
    </row>
    <row r="2" spans="1:6" ht="29" x14ac:dyDescent="0.35">
      <c r="A2" s="20" t="s">
        <v>2</v>
      </c>
      <c r="B2" s="20" t="s">
        <v>0</v>
      </c>
      <c r="C2" s="20" t="s">
        <v>1</v>
      </c>
      <c r="D2" s="21" t="s">
        <v>36</v>
      </c>
      <c r="E2" s="22" t="s">
        <v>37</v>
      </c>
      <c r="F2" s="20" t="s">
        <v>35</v>
      </c>
    </row>
    <row r="3" spans="1:6" x14ac:dyDescent="0.35">
      <c r="A3" s="2">
        <v>1</v>
      </c>
      <c r="B3" s="3" t="s">
        <v>3</v>
      </c>
      <c r="C3" s="5">
        <v>2019</v>
      </c>
      <c r="D3" s="16">
        <v>243629000000</v>
      </c>
      <c r="E3" s="16">
        <v>660860000000</v>
      </c>
      <c r="F3" s="4">
        <f>D3/E3</f>
        <v>0.36865448052537603</v>
      </c>
    </row>
    <row r="4" spans="1:6" x14ac:dyDescent="0.35">
      <c r="A4" s="2">
        <v>2</v>
      </c>
      <c r="B4" s="4"/>
      <c r="C4" s="2">
        <v>2020</v>
      </c>
      <c r="D4" s="16">
        <v>893779000000</v>
      </c>
      <c r="E4" s="16">
        <v>1462635000000</v>
      </c>
      <c r="F4" s="4">
        <f t="shared" ref="F4:F67" si="0">D4/E4</f>
        <v>0.61107453329094408</v>
      </c>
    </row>
    <row r="5" spans="1:6" x14ac:dyDescent="0.35">
      <c r="A5" s="2">
        <v>3</v>
      </c>
      <c r="B5" s="4"/>
      <c r="C5" s="2">
        <v>2021</v>
      </c>
      <c r="D5" s="16">
        <v>2067362000000</v>
      </c>
      <c r="E5" s="16">
        <v>2913169000000</v>
      </c>
      <c r="F5" s="4">
        <f t="shared" si="0"/>
        <v>0.70966085386738631</v>
      </c>
    </row>
    <row r="6" spans="1:6" x14ac:dyDescent="0.35">
      <c r="A6" s="2">
        <v>4</v>
      </c>
      <c r="B6" s="4"/>
      <c r="C6" s="2">
        <v>2022</v>
      </c>
      <c r="D6" s="16">
        <v>1792050000000</v>
      </c>
      <c r="E6" s="16">
        <v>2429178000000</v>
      </c>
      <c r="F6" s="4">
        <f t="shared" si="0"/>
        <v>0.73771868508606619</v>
      </c>
    </row>
    <row r="7" spans="1:6" x14ac:dyDescent="0.35">
      <c r="A7" s="2">
        <v>5</v>
      </c>
      <c r="B7" s="3" t="s">
        <v>4</v>
      </c>
      <c r="C7" s="5">
        <v>2019</v>
      </c>
      <c r="D7" s="16">
        <v>83885000000</v>
      </c>
      <c r="E7" s="16">
        <v>110179000000</v>
      </c>
      <c r="F7" s="4">
        <f t="shared" si="0"/>
        <v>0.76135198177511143</v>
      </c>
    </row>
    <row r="8" spans="1:6" x14ac:dyDescent="0.35">
      <c r="A8" s="2">
        <v>6</v>
      </c>
      <c r="B8" s="4"/>
      <c r="C8" s="2">
        <v>2020</v>
      </c>
      <c r="D8" s="16">
        <v>135789000000</v>
      </c>
      <c r="E8" s="16">
        <v>167919000000</v>
      </c>
      <c r="F8" s="4">
        <f t="shared" si="0"/>
        <v>0.8086577456988191</v>
      </c>
    </row>
    <row r="9" spans="1:6" x14ac:dyDescent="0.35">
      <c r="A9" s="2">
        <v>7</v>
      </c>
      <c r="B9" s="4"/>
      <c r="C9" s="2">
        <v>2021</v>
      </c>
      <c r="D9" s="16">
        <v>265758000000</v>
      </c>
      <c r="E9" s="16">
        <v>337828000000</v>
      </c>
      <c r="F9" s="4">
        <f t="shared" si="0"/>
        <v>0.78666658773103471</v>
      </c>
    </row>
    <row r="10" spans="1:6" x14ac:dyDescent="0.35">
      <c r="A10" s="2">
        <v>8</v>
      </c>
      <c r="B10" s="4"/>
      <c r="C10" s="2">
        <v>2022</v>
      </c>
      <c r="D10" s="16">
        <v>364972000000</v>
      </c>
      <c r="E10" s="16">
        <v>463308000000</v>
      </c>
      <c r="F10" s="4">
        <f t="shared" si="0"/>
        <v>0.7877524238735355</v>
      </c>
    </row>
    <row r="11" spans="1:6" x14ac:dyDescent="0.35">
      <c r="A11" s="2">
        <v>9</v>
      </c>
      <c r="B11" s="3" t="s">
        <v>5</v>
      </c>
      <c r="C11" s="5">
        <v>2019</v>
      </c>
      <c r="D11" s="16">
        <v>306952000000</v>
      </c>
      <c r="E11" s="16">
        <v>404771000000</v>
      </c>
      <c r="F11" s="4">
        <f t="shared" si="0"/>
        <v>0.75833495976737464</v>
      </c>
    </row>
    <row r="12" spans="1:6" x14ac:dyDescent="0.35">
      <c r="A12" s="2">
        <v>10</v>
      </c>
      <c r="B12" s="4"/>
      <c r="C12" s="2">
        <v>2020</v>
      </c>
      <c r="D12" s="16">
        <v>275667000000</v>
      </c>
      <c r="E12" s="16">
        <v>364938000000</v>
      </c>
      <c r="F12" s="4">
        <f t="shared" si="0"/>
        <v>0.75538036597997471</v>
      </c>
    </row>
    <row r="13" spans="1:6" x14ac:dyDescent="0.35">
      <c r="A13" s="2">
        <v>11</v>
      </c>
      <c r="B13" s="4"/>
      <c r="C13" s="2">
        <v>2021</v>
      </c>
      <c r="D13" s="16">
        <v>380992000000</v>
      </c>
      <c r="E13" s="16">
        <v>477367000000</v>
      </c>
      <c r="F13" s="4">
        <f t="shared" si="0"/>
        <v>0.79811130639528916</v>
      </c>
    </row>
    <row r="14" spans="1:6" x14ac:dyDescent="0.35">
      <c r="A14" s="2">
        <v>12</v>
      </c>
      <c r="B14" s="4"/>
      <c r="C14" s="2">
        <v>2022</v>
      </c>
      <c r="D14" s="16">
        <v>523242000000</v>
      </c>
      <c r="E14" s="16">
        <v>644894000000</v>
      </c>
      <c r="F14" s="4">
        <f t="shared" si="0"/>
        <v>0.81136124696461742</v>
      </c>
    </row>
    <row r="15" spans="1:6" x14ac:dyDescent="0.35">
      <c r="A15" s="2">
        <v>13</v>
      </c>
      <c r="B15" s="3" t="s">
        <v>6</v>
      </c>
      <c r="C15" s="5">
        <v>2019</v>
      </c>
      <c r="D15" s="16">
        <v>64021000000</v>
      </c>
      <c r="E15" s="16">
        <v>83905000000</v>
      </c>
      <c r="F15" s="4">
        <f t="shared" si="0"/>
        <v>0.76301769858768842</v>
      </c>
    </row>
    <row r="16" spans="1:6" x14ac:dyDescent="0.35">
      <c r="A16" s="2">
        <v>14</v>
      </c>
      <c r="B16" s="4"/>
      <c r="C16" s="2">
        <v>2020</v>
      </c>
      <c r="D16" s="16">
        <v>67093000000</v>
      </c>
      <c r="E16" s="16">
        <v>69312000000</v>
      </c>
      <c r="F16" s="4">
        <f t="shared" si="0"/>
        <v>0.96798534164358263</v>
      </c>
    </row>
    <row r="17" spans="1:6" x14ac:dyDescent="0.35">
      <c r="A17" s="2">
        <v>15</v>
      </c>
      <c r="B17" s="4"/>
      <c r="C17" s="2">
        <v>2021</v>
      </c>
      <c r="D17" s="16">
        <v>91723000000</v>
      </c>
      <c r="E17" s="16">
        <v>113965000000</v>
      </c>
      <c r="F17" s="4">
        <f t="shared" si="0"/>
        <v>0.80483481770719079</v>
      </c>
    </row>
    <row r="18" spans="1:6" x14ac:dyDescent="0.35">
      <c r="A18" s="2">
        <v>16</v>
      </c>
      <c r="B18" s="4"/>
      <c r="C18" s="2">
        <v>2022</v>
      </c>
      <c r="D18" s="16">
        <v>93065000000</v>
      </c>
      <c r="E18" s="16">
        <v>116031000000</v>
      </c>
      <c r="F18" s="4">
        <f t="shared" si="0"/>
        <v>0.80207013642905778</v>
      </c>
    </row>
    <row r="19" spans="1:6" x14ac:dyDescent="0.35">
      <c r="A19" s="2">
        <v>17</v>
      </c>
      <c r="B19" s="3" t="s">
        <v>7</v>
      </c>
      <c r="C19" s="5">
        <v>2019</v>
      </c>
      <c r="D19" s="16">
        <v>76758829457</v>
      </c>
      <c r="E19" s="16">
        <v>99535473132</v>
      </c>
      <c r="F19" s="4">
        <f t="shared" si="0"/>
        <v>0.77117058915473768</v>
      </c>
    </row>
    <row r="20" spans="1:6" x14ac:dyDescent="0.35">
      <c r="A20" s="2">
        <v>18</v>
      </c>
      <c r="B20" s="4"/>
      <c r="C20" s="2">
        <v>2020</v>
      </c>
      <c r="D20" s="16">
        <v>44045828312</v>
      </c>
      <c r="E20" s="16">
        <v>56816360398</v>
      </c>
      <c r="F20" s="4">
        <f t="shared" si="0"/>
        <v>0.77523142988142657</v>
      </c>
    </row>
    <row r="21" spans="1:6" x14ac:dyDescent="0.35">
      <c r="A21" s="2">
        <v>19</v>
      </c>
      <c r="B21" s="4"/>
      <c r="C21" s="2">
        <v>2021</v>
      </c>
      <c r="D21" s="16">
        <v>99278807290</v>
      </c>
      <c r="E21" s="16">
        <v>125146931830</v>
      </c>
      <c r="F21" s="4">
        <f t="shared" si="0"/>
        <v>0.79329797253727852</v>
      </c>
    </row>
    <row r="22" spans="1:6" x14ac:dyDescent="0.35">
      <c r="A22" s="2">
        <v>20</v>
      </c>
      <c r="B22" s="4"/>
      <c r="C22" s="2">
        <v>2022</v>
      </c>
      <c r="D22" s="16">
        <v>121257336904</v>
      </c>
      <c r="E22" s="16">
        <v>153914313784</v>
      </c>
      <c r="F22" s="4">
        <f t="shared" si="0"/>
        <v>0.78782365280314282</v>
      </c>
    </row>
    <row r="23" spans="1:6" x14ac:dyDescent="0.35">
      <c r="A23" s="2">
        <v>21</v>
      </c>
      <c r="B23" s="3" t="s">
        <v>8</v>
      </c>
      <c r="C23" s="5">
        <v>2019</v>
      </c>
      <c r="D23" s="16">
        <v>215459200242</v>
      </c>
      <c r="E23" s="16">
        <v>285132249695</v>
      </c>
      <c r="F23" s="4">
        <f t="shared" si="0"/>
        <v>0.75564654812800791</v>
      </c>
    </row>
    <row r="24" spans="1:6" x14ac:dyDescent="0.35">
      <c r="A24" s="2">
        <v>22</v>
      </c>
      <c r="B24" s="4"/>
      <c r="C24" s="2">
        <v>2020</v>
      </c>
      <c r="D24" s="16">
        <v>181812593992</v>
      </c>
      <c r="E24" s="16">
        <v>232864791126</v>
      </c>
      <c r="F24" s="4">
        <f t="shared" si="0"/>
        <v>0.78076463647792793</v>
      </c>
    </row>
    <row r="25" spans="1:6" x14ac:dyDescent="0.35">
      <c r="A25" s="2">
        <v>23</v>
      </c>
      <c r="B25" s="4"/>
      <c r="C25" s="2">
        <v>2021</v>
      </c>
      <c r="D25" s="16">
        <v>187066990085</v>
      </c>
      <c r="E25" s="16">
        <v>236334817214</v>
      </c>
      <c r="F25" s="4">
        <f t="shared" si="0"/>
        <v>0.79153377521862034</v>
      </c>
    </row>
    <row r="26" spans="1:6" x14ac:dyDescent="0.35">
      <c r="A26" s="2">
        <v>24</v>
      </c>
      <c r="B26" s="4"/>
      <c r="C26" s="2">
        <v>2022</v>
      </c>
      <c r="D26" s="16">
        <v>220704543072</v>
      </c>
      <c r="E26" s="16">
        <v>283149105983</v>
      </c>
      <c r="F26" s="4">
        <f t="shared" si="0"/>
        <v>0.77946402940523818</v>
      </c>
    </row>
    <row r="27" spans="1:6" x14ac:dyDescent="0.35">
      <c r="A27" s="2">
        <v>25</v>
      </c>
      <c r="B27" s="3" t="s">
        <v>9</v>
      </c>
      <c r="C27" s="5">
        <v>2019</v>
      </c>
      <c r="D27" s="16">
        <v>130756461708</v>
      </c>
      <c r="E27" s="16">
        <v>172342839552</v>
      </c>
      <c r="F27" s="4">
        <f t="shared" si="0"/>
        <v>0.7586997060504368</v>
      </c>
    </row>
    <row r="28" spans="1:6" x14ac:dyDescent="0.35">
      <c r="A28" s="2">
        <v>26</v>
      </c>
      <c r="B28" s="4"/>
      <c r="C28" s="2">
        <v>2020</v>
      </c>
      <c r="D28" s="16">
        <v>132772234495</v>
      </c>
      <c r="E28" s="16">
        <v>168613556985</v>
      </c>
      <c r="F28" s="4">
        <f t="shared" si="0"/>
        <v>0.78743510823872553</v>
      </c>
    </row>
    <row r="29" spans="1:6" x14ac:dyDescent="0.35">
      <c r="A29" s="2">
        <v>27</v>
      </c>
      <c r="B29" s="4"/>
      <c r="C29" s="2">
        <v>2021</v>
      </c>
      <c r="D29" s="16">
        <v>180711667020</v>
      </c>
      <c r="E29" s="16">
        <v>229981620687</v>
      </c>
      <c r="F29" s="4">
        <f t="shared" si="0"/>
        <v>0.78576569066771063</v>
      </c>
    </row>
    <row r="30" spans="1:6" x14ac:dyDescent="0.35">
      <c r="A30" s="2">
        <v>28</v>
      </c>
      <c r="B30" s="4"/>
      <c r="C30" s="2">
        <v>2022</v>
      </c>
      <c r="D30" s="16">
        <v>195598848689</v>
      </c>
      <c r="E30" s="16">
        <v>248863660595</v>
      </c>
      <c r="F30" s="4">
        <f t="shared" si="0"/>
        <v>0.78596789993906346</v>
      </c>
    </row>
    <row r="31" spans="1:6" x14ac:dyDescent="0.35">
      <c r="A31" s="2">
        <v>29</v>
      </c>
      <c r="B31" s="3" t="s">
        <v>10</v>
      </c>
      <c r="C31" s="5">
        <v>2019</v>
      </c>
      <c r="D31" s="16">
        <v>-348863000000</v>
      </c>
      <c r="E31" s="16">
        <v>-348277000000</v>
      </c>
      <c r="F31" s="4">
        <f t="shared" si="0"/>
        <v>1.0016825687599238</v>
      </c>
    </row>
    <row r="32" spans="1:6" x14ac:dyDescent="0.35">
      <c r="A32" s="2">
        <v>30</v>
      </c>
      <c r="B32" s="4"/>
      <c r="C32" s="2">
        <v>2020</v>
      </c>
      <c r="D32" s="16">
        <v>381422000000</v>
      </c>
      <c r="E32" s="16">
        <v>195395000000</v>
      </c>
      <c r="F32" s="4">
        <f t="shared" si="0"/>
        <v>1.9520560915069474</v>
      </c>
    </row>
    <row r="33" spans="1:6" x14ac:dyDescent="0.35">
      <c r="A33" s="2">
        <v>31</v>
      </c>
      <c r="B33" s="4"/>
      <c r="C33" s="2">
        <v>2021</v>
      </c>
      <c r="D33" s="16">
        <v>2209313000000</v>
      </c>
      <c r="E33" s="16">
        <v>2282950000000</v>
      </c>
      <c r="F33" s="4">
        <f t="shared" si="0"/>
        <v>0.96774480387218287</v>
      </c>
    </row>
    <row r="34" spans="1:6" x14ac:dyDescent="0.35">
      <c r="A34" s="2">
        <v>32</v>
      </c>
      <c r="B34" s="4"/>
      <c r="C34" s="2">
        <v>2022</v>
      </c>
      <c r="D34" s="16">
        <v>373978000000</v>
      </c>
      <c r="E34" s="16">
        <v>476679000000</v>
      </c>
      <c r="F34" s="4">
        <f t="shared" si="0"/>
        <v>0.7845489312514291</v>
      </c>
    </row>
    <row r="35" spans="1:6" x14ac:dyDescent="0.35">
      <c r="A35" s="2">
        <v>33</v>
      </c>
      <c r="B35" s="3" t="s">
        <v>11</v>
      </c>
      <c r="C35" s="5">
        <v>2019</v>
      </c>
      <c r="D35" s="16">
        <v>317815177000</v>
      </c>
      <c r="E35" s="16">
        <v>412437215000</v>
      </c>
      <c r="F35" s="4">
        <f t="shared" si="0"/>
        <v>0.77057832184227115</v>
      </c>
    </row>
    <row r="36" spans="1:6" x14ac:dyDescent="0.35">
      <c r="A36" s="2">
        <v>34</v>
      </c>
      <c r="B36" s="4"/>
      <c r="C36" s="2">
        <v>2020</v>
      </c>
      <c r="D36" s="16">
        <v>123465762000</v>
      </c>
      <c r="E36" s="16">
        <v>164704480000</v>
      </c>
      <c r="F36" s="4">
        <f t="shared" si="0"/>
        <v>0.74961993747832478</v>
      </c>
    </row>
    <row r="37" spans="1:6" x14ac:dyDescent="0.35">
      <c r="A37" s="2">
        <v>35</v>
      </c>
      <c r="B37" s="4"/>
      <c r="C37" s="2">
        <v>2021</v>
      </c>
      <c r="D37" s="16">
        <v>187992998000</v>
      </c>
      <c r="E37" s="16">
        <v>240865871000</v>
      </c>
      <c r="F37" s="4">
        <f t="shared" si="0"/>
        <v>0.78048831583948231</v>
      </c>
    </row>
    <row r="38" spans="1:6" x14ac:dyDescent="0.35">
      <c r="A38" s="2">
        <v>36</v>
      </c>
      <c r="B38" s="4"/>
      <c r="C38" s="2">
        <v>2022</v>
      </c>
      <c r="D38" s="16">
        <v>230065807000</v>
      </c>
      <c r="E38" s="16">
        <v>294211660000</v>
      </c>
      <c r="F38" s="4">
        <f t="shared" si="0"/>
        <v>0.78197379056968719</v>
      </c>
    </row>
    <row r="39" spans="1:6" x14ac:dyDescent="0.35">
      <c r="A39" s="2">
        <v>37</v>
      </c>
      <c r="B39" s="3" t="s">
        <v>12</v>
      </c>
      <c r="C39" s="5">
        <v>2019</v>
      </c>
      <c r="D39" s="16">
        <v>178164000000</v>
      </c>
      <c r="E39" s="16">
        <v>280084000000</v>
      </c>
      <c r="F39" s="4">
        <f t="shared" si="0"/>
        <v>0.63610916724982502</v>
      </c>
    </row>
    <row r="40" spans="1:6" x14ac:dyDescent="0.35">
      <c r="A40" s="2">
        <v>38</v>
      </c>
      <c r="B40" s="4"/>
      <c r="C40" s="2">
        <v>2020</v>
      </c>
      <c r="D40" s="16">
        <v>478171000000</v>
      </c>
      <c r="E40" s="16">
        <v>695296000000</v>
      </c>
      <c r="F40" s="4">
        <f t="shared" si="0"/>
        <v>0.68772292663843893</v>
      </c>
    </row>
    <row r="41" spans="1:6" x14ac:dyDescent="0.35">
      <c r="A41" s="2">
        <v>39</v>
      </c>
      <c r="B41" s="4"/>
      <c r="C41" s="2">
        <v>2021</v>
      </c>
      <c r="D41" s="16">
        <v>739649000000</v>
      </c>
      <c r="E41" s="16">
        <v>965884000000</v>
      </c>
      <c r="F41" s="4">
        <f t="shared" si="0"/>
        <v>0.76577415093323831</v>
      </c>
    </row>
    <row r="42" spans="1:6" x14ac:dyDescent="0.35">
      <c r="A42" s="2">
        <v>40</v>
      </c>
      <c r="B42" s="4"/>
      <c r="C42" s="2">
        <v>2022</v>
      </c>
      <c r="D42" s="16">
        <v>1206587000000</v>
      </c>
      <c r="E42" s="16">
        <v>1610228000000</v>
      </c>
      <c r="F42" s="4">
        <f t="shared" si="0"/>
        <v>0.74932680340920665</v>
      </c>
    </row>
    <row r="43" spans="1:6" x14ac:dyDescent="0.35">
      <c r="A43" s="2">
        <v>41</v>
      </c>
      <c r="B43" s="3" t="s">
        <v>13</v>
      </c>
      <c r="C43" s="5">
        <v>2019</v>
      </c>
      <c r="D43" s="16">
        <v>435766359480</v>
      </c>
      <c r="E43" s="16">
        <v>339984897163</v>
      </c>
      <c r="F43" s="4">
        <f t="shared" si="0"/>
        <v>1.2817226974381724</v>
      </c>
    </row>
    <row r="44" spans="1:6" x14ac:dyDescent="0.35">
      <c r="A44" s="2">
        <v>42</v>
      </c>
      <c r="B44" s="4"/>
      <c r="C44" s="2">
        <v>2020</v>
      </c>
      <c r="D44" s="16">
        <v>245103761907</v>
      </c>
      <c r="E44" s="16">
        <v>580567005845</v>
      </c>
      <c r="F44" s="4">
        <f t="shared" si="0"/>
        <v>0.42217997137170743</v>
      </c>
    </row>
    <row r="45" spans="1:6" x14ac:dyDescent="0.35">
      <c r="A45" s="2">
        <v>43</v>
      </c>
      <c r="B45" s="4"/>
      <c r="C45" s="2">
        <v>2021</v>
      </c>
      <c r="D45" s="16">
        <v>492637672186</v>
      </c>
      <c r="E45" s="16">
        <v>632654506311</v>
      </c>
      <c r="F45" s="4">
        <f t="shared" si="0"/>
        <v>0.77868357416524814</v>
      </c>
    </row>
    <row r="46" spans="1:6" x14ac:dyDescent="0.35">
      <c r="A46" s="2">
        <v>44</v>
      </c>
      <c r="B46" s="4"/>
      <c r="C46" s="2">
        <v>2022</v>
      </c>
      <c r="D46" s="16">
        <v>521714035585</v>
      </c>
      <c r="E46" s="16">
        <v>674251464663</v>
      </c>
      <c r="F46" s="4">
        <f t="shared" si="0"/>
        <v>0.77376774531110548</v>
      </c>
    </row>
    <row r="47" spans="1:6" x14ac:dyDescent="0.35">
      <c r="A47" s="2">
        <v>45</v>
      </c>
      <c r="B47" s="3" t="s">
        <v>14</v>
      </c>
      <c r="C47" s="5">
        <v>2019</v>
      </c>
      <c r="D47" s="16">
        <v>103723133972</v>
      </c>
      <c r="E47" s="16">
        <v>142179083420</v>
      </c>
      <c r="F47" s="4">
        <f t="shared" si="0"/>
        <v>0.72952456491507744</v>
      </c>
    </row>
    <row r="48" spans="1:6" x14ac:dyDescent="0.35">
      <c r="A48" s="2">
        <v>46</v>
      </c>
      <c r="B48" s="4"/>
      <c r="C48" s="2">
        <v>2020</v>
      </c>
      <c r="D48" s="16">
        <v>38038419405</v>
      </c>
      <c r="E48" s="16">
        <v>50874681549</v>
      </c>
      <c r="F48" s="4">
        <f t="shared" si="0"/>
        <v>0.74768859964977386</v>
      </c>
    </row>
    <row r="49" spans="1:6" x14ac:dyDescent="0.35">
      <c r="A49" s="2">
        <v>47</v>
      </c>
      <c r="B49" s="4"/>
      <c r="C49" s="2">
        <v>2021</v>
      </c>
      <c r="D49" s="16">
        <v>11844682161</v>
      </c>
      <c r="E49" s="16">
        <v>17115171923</v>
      </c>
      <c r="F49" s="4">
        <f t="shared" si="0"/>
        <v>0.69205744553945603</v>
      </c>
    </row>
    <row r="50" spans="1:6" x14ac:dyDescent="0.35">
      <c r="A50" s="2">
        <v>48</v>
      </c>
      <c r="B50" s="4"/>
      <c r="C50" s="2">
        <v>2022</v>
      </c>
      <c r="D50" s="16">
        <v>90572477</v>
      </c>
      <c r="E50" s="16">
        <v>661981085</v>
      </c>
      <c r="F50" s="4">
        <f t="shared" si="0"/>
        <v>0.13682033981378788</v>
      </c>
    </row>
    <row r="51" spans="1:6" x14ac:dyDescent="0.35">
      <c r="A51" s="2">
        <v>49</v>
      </c>
      <c r="B51" s="3" t="s">
        <v>15</v>
      </c>
      <c r="C51" s="5">
        <v>2019</v>
      </c>
      <c r="D51" s="16">
        <v>5360029000000</v>
      </c>
      <c r="E51" s="16">
        <v>7436972000000</v>
      </c>
      <c r="F51" s="4">
        <f t="shared" si="0"/>
        <v>0.72072733365138397</v>
      </c>
    </row>
    <row r="52" spans="1:6" x14ac:dyDescent="0.35">
      <c r="A52" s="2">
        <v>50</v>
      </c>
      <c r="B52" s="4"/>
      <c r="C52" s="2">
        <v>2020</v>
      </c>
      <c r="D52" s="16">
        <v>7418574000000</v>
      </c>
      <c r="E52" s="16">
        <v>9958647000000</v>
      </c>
      <c r="F52" s="4">
        <f t="shared" si="0"/>
        <v>0.74493794187101925</v>
      </c>
    </row>
    <row r="53" spans="1:6" x14ac:dyDescent="0.35">
      <c r="A53" s="2">
        <v>51</v>
      </c>
      <c r="B53" s="4"/>
      <c r="C53" s="2">
        <v>2021</v>
      </c>
      <c r="D53" s="16">
        <v>7911943000000</v>
      </c>
      <c r="E53" s="16">
        <v>9950170000000</v>
      </c>
      <c r="F53" s="4">
        <f t="shared" si="0"/>
        <v>0.79515656516421329</v>
      </c>
    </row>
    <row r="54" spans="1:6" x14ac:dyDescent="0.35">
      <c r="A54" s="2">
        <v>52</v>
      </c>
      <c r="B54" s="4"/>
      <c r="C54" s="2">
        <v>2022</v>
      </c>
      <c r="D54" s="16">
        <v>5722194000000</v>
      </c>
      <c r="E54" s="16">
        <v>7525385000000</v>
      </c>
      <c r="F54" s="4">
        <f t="shared" si="0"/>
        <v>0.76038554838058114</v>
      </c>
    </row>
    <row r="55" spans="1:6" x14ac:dyDescent="0.35">
      <c r="A55" s="2">
        <v>53</v>
      </c>
      <c r="B55" s="3" t="s">
        <v>16</v>
      </c>
      <c r="C55" s="5">
        <v>2019</v>
      </c>
      <c r="D55" s="16">
        <v>5902729000000</v>
      </c>
      <c r="E55" s="16">
        <v>8749397000000</v>
      </c>
      <c r="F55" s="4">
        <f t="shared" si="0"/>
        <v>0.67464409261575398</v>
      </c>
    </row>
    <row r="56" spans="1:6" x14ac:dyDescent="0.35">
      <c r="A56" s="2">
        <v>54</v>
      </c>
      <c r="B56" s="4"/>
      <c r="C56" s="2">
        <v>2020</v>
      </c>
      <c r="D56" s="16">
        <v>8752066000000</v>
      </c>
      <c r="E56" s="16">
        <v>12426334000000</v>
      </c>
      <c r="F56" s="4">
        <f t="shared" si="0"/>
        <v>0.70431601146404077</v>
      </c>
    </row>
    <row r="57" spans="1:6" x14ac:dyDescent="0.35">
      <c r="A57" s="2">
        <v>55</v>
      </c>
      <c r="B57" s="4"/>
      <c r="C57" s="2">
        <v>2021</v>
      </c>
      <c r="D57" s="16">
        <v>11229695000000</v>
      </c>
      <c r="E57" s="16">
        <v>14488653000000</v>
      </c>
      <c r="F57" s="4">
        <f t="shared" si="0"/>
        <v>0.77506825513731337</v>
      </c>
    </row>
    <row r="58" spans="1:6" x14ac:dyDescent="0.35">
      <c r="A58" s="2">
        <v>56</v>
      </c>
      <c r="B58" s="4"/>
      <c r="C58" s="2">
        <v>2022</v>
      </c>
      <c r="D58" s="16">
        <v>9192569000000</v>
      </c>
      <c r="E58" s="16">
        <v>12318765000000</v>
      </c>
      <c r="F58" s="4">
        <f t="shared" si="0"/>
        <v>0.74622488536797316</v>
      </c>
    </row>
    <row r="59" spans="1:6" x14ac:dyDescent="0.35">
      <c r="A59" s="2">
        <v>57</v>
      </c>
      <c r="B59" s="3" t="s">
        <v>17</v>
      </c>
      <c r="C59" s="5">
        <v>2019</v>
      </c>
      <c r="D59" s="16">
        <v>1793914000000</v>
      </c>
      <c r="E59" s="16">
        <v>2494477000000</v>
      </c>
      <c r="F59" s="4">
        <f t="shared" si="0"/>
        <v>0.7191543558028396</v>
      </c>
    </row>
    <row r="60" spans="1:6" x14ac:dyDescent="0.35">
      <c r="A60" s="2">
        <v>58</v>
      </c>
      <c r="B60" s="4"/>
      <c r="C60" s="2">
        <v>2020</v>
      </c>
      <c r="D60" s="16">
        <v>1221904000000</v>
      </c>
      <c r="E60" s="16">
        <v>1679091000000</v>
      </c>
      <c r="F60" s="4">
        <f t="shared" si="0"/>
        <v>0.72771755670181071</v>
      </c>
    </row>
    <row r="61" spans="1:6" x14ac:dyDescent="0.35">
      <c r="A61" s="2">
        <v>59</v>
      </c>
      <c r="B61" s="4"/>
      <c r="C61" s="2">
        <v>2021</v>
      </c>
      <c r="D61" s="16">
        <v>2130896000000</v>
      </c>
      <c r="E61" s="16">
        <v>2793847000000</v>
      </c>
      <c r="F61" s="4">
        <f t="shared" si="0"/>
        <v>0.76271034169014984</v>
      </c>
    </row>
    <row r="62" spans="1:6" x14ac:dyDescent="0.35">
      <c r="A62" s="2">
        <v>60</v>
      </c>
      <c r="B62" s="4"/>
      <c r="C62" s="2">
        <v>2022</v>
      </c>
      <c r="D62" s="16">
        <v>1490931000000</v>
      </c>
      <c r="E62" s="16">
        <v>1954529000000</v>
      </c>
      <c r="F62" s="4">
        <f t="shared" si="0"/>
        <v>0.76280832875848859</v>
      </c>
    </row>
    <row r="63" spans="1:6" x14ac:dyDescent="0.35">
      <c r="A63" s="2">
        <v>61</v>
      </c>
      <c r="B63" s="3" t="s">
        <v>18</v>
      </c>
      <c r="C63" s="5">
        <v>2019</v>
      </c>
      <c r="D63" s="16">
        <v>252630000000</v>
      </c>
      <c r="E63" s="16">
        <v>352743000000</v>
      </c>
      <c r="F63" s="4">
        <f t="shared" si="0"/>
        <v>0.71618713907859266</v>
      </c>
    </row>
    <row r="64" spans="1:6" x14ac:dyDescent="0.35">
      <c r="A64" s="2">
        <v>62</v>
      </c>
      <c r="B64" s="4"/>
      <c r="C64" s="2">
        <v>2020</v>
      </c>
      <c r="D64" s="16">
        <v>695490000000</v>
      </c>
      <c r="E64" s="16">
        <v>860439000000</v>
      </c>
      <c r="F64" s="4">
        <f t="shared" si="0"/>
        <v>0.80829669505915003</v>
      </c>
    </row>
    <row r="65" spans="1:6" x14ac:dyDescent="0.35">
      <c r="A65" s="2">
        <v>63</v>
      </c>
      <c r="B65" s="4"/>
      <c r="C65" s="2">
        <v>2021</v>
      </c>
      <c r="D65" s="16">
        <v>991630000000</v>
      </c>
      <c r="E65" s="16">
        <v>1248382000000</v>
      </c>
      <c r="F65" s="4">
        <f t="shared" si="0"/>
        <v>0.79433218357842394</v>
      </c>
    </row>
    <row r="66" spans="1:6" x14ac:dyDescent="0.35">
      <c r="A66" s="2">
        <v>64</v>
      </c>
      <c r="B66" s="4"/>
      <c r="C66" s="2">
        <v>2022</v>
      </c>
      <c r="D66" s="16">
        <v>1035285000000</v>
      </c>
      <c r="E66" s="16">
        <v>1283525000000</v>
      </c>
      <c r="F66" s="4">
        <f t="shared" si="0"/>
        <v>0.80659511891081204</v>
      </c>
    </row>
    <row r="67" spans="1:6" x14ac:dyDescent="0.35">
      <c r="A67" s="2">
        <v>65</v>
      </c>
      <c r="B67" s="3" t="s">
        <v>19</v>
      </c>
      <c r="C67" s="5">
        <v>2019</v>
      </c>
      <c r="D67" s="16">
        <v>1206059000000</v>
      </c>
      <c r="E67" s="16">
        <v>16266120000000</v>
      </c>
      <c r="F67" s="4">
        <f t="shared" si="0"/>
        <v>7.4145463085234828E-2</v>
      </c>
    </row>
    <row r="68" spans="1:6" x14ac:dyDescent="0.35">
      <c r="A68" s="2">
        <v>66</v>
      </c>
      <c r="B68" s="4"/>
      <c r="C68" s="2">
        <v>2020</v>
      </c>
      <c r="D68" s="16">
        <v>285617000000</v>
      </c>
      <c r="E68" s="16">
        <v>396470000000</v>
      </c>
      <c r="F68" s="4">
        <f t="shared" ref="F68:F131" si="1">D68/E68</f>
        <v>0.72040003026710719</v>
      </c>
    </row>
    <row r="69" spans="1:6" x14ac:dyDescent="0.35">
      <c r="A69" s="2">
        <v>67</v>
      </c>
      <c r="B69" s="4"/>
      <c r="C69" s="2">
        <v>2021</v>
      </c>
      <c r="D69" s="16">
        <v>665850000000</v>
      </c>
      <c r="E69" s="16">
        <v>877781000000</v>
      </c>
      <c r="F69" s="4">
        <f t="shared" si="1"/>
        <v>0.75856050655003926</v>
      </c>
    </row>
    <row r="70" spans="1:6" x14ac:dyDescent="0.35">
      <c r="A70" s="2">
        <v>68</v>
      </c>
      <c r="B70" s="4"/>
      <c r="C70" s="2">
        <v>2022</v>
      </c>
      <c r="D70" s="16">
        <v>924906000000</v>
      </c>
      <c r="E70" s="16">
        <v>1246487000000</v>
      </c>
      <c r="F70" s="4">
        <f t="shared" si="1"/>
        <v>0.74201014531238596</v>
      </c>
    </row>
    <row r="71" spans="1:6" x14ac:dyDescent="0.35">
      <c r="A71" s="2">
        <v>69</v>
      </c>
      <c r="B71" s="3" t="s">
        <v>20</v>
      </c>
      <c r="C71" s="5">
        <v>2019</v>
      </c>
      <c r="D71" s="16">
        <v>2051404206764</v>
      </c>
      <c r="E71" s="16">
        <v>2704466581011</v>
      </c>
      <c r="F71" s="4">
        <f t="shared" si="1"/>
        <v>0.75852451687427824</v>
      </c>
    </row>
    <row r="72" spans="1:6" x14ac:dyDescent="0.35">
      <c r="A72" s="2">
        <v>70</v>
      </c>
      <c r="B72" s="4"/>
      <c r="C72" s="2">
        <v>2020</v>
      </c>
      <c r="D72" s="16">
        <v>2098168514645</v>
      </c>
      <c r="E72" s="16">
        <v>2683890279936</v>
      </c>
      <c r="F72" s="4">
        <f t="shared" si="1"/>
        <v>0.78176389337906649</v>
      </c>
    </row>
    <row r="73" spans="1:6" x14ac:dyDescent="0.35">
      <c r="A73" s="2">
        <v>71</v>
      </c>
      <c r="B73" s="4"/>
      <c r="C73" s="2">
        <v>2021</v>
      </c>
      <c r="D73" s="16">
        <v>1211052647953</v>
      </c>
      <c r="E73" s="16">
        <v>1549648556686</v>
      </c>
      <c r="F73" s="4">
        <f t="shared" si="1"/>
        <v>0.78150148479013581</v>
      </c>
    </row>
    <row r="74" spans="1:6" x14ac:dyDescent="0.35">
      <c r="A74" s="2">
        <v>72</v>
      </c>
      <c r="B74" s="4"/>
      <c r="C74" s="2">
        <v>2022</v>
      </c>
      <c r="D74" s="16">
        <v>1970064538149</v>
      </c>
      <c r="E74" s="16">
        <v>2506057517934</v>
      </c>
      <c r="F74" s="4">
        <f t="shared" si="1"/>
        <v>0.78612103834437375</v>
      </c>
    </row>
    <row r="75" spans="1:6" x14ac:dyDescent="0.35">
      <c r="A75" s="2">
        <v>73</v>
      </c>
      <c r="B75" s="3" t="s">
        <v>21</v>
      </c>
      <c r="C75" s="5">
        <v>2019</v>
      </c>
      <c r="D75" s="16">
        <v>236518557420</v>
      </c>
      <c r="E75" s="16">
        <v>347098820613</v>
      </c>
      <c r="F75" s="4">
        <f t="shared" si="1"/>
        <v>0.68141561818704033</v>
      </c>
    </row>
    <row r="76" spans="1:6" x14ac:dyDescent="0.35">
      <c r="A76" s="2">
        <v>74</v>
      </c>
      <c r="B76" s="4"/>
      <c r="C76" s="2">
        <v>2020</v>
      </c>
      <c r="D76" s="16">
        <v>168610282478</v>
      </c>
      <c r="E76" s="16">
        <v>160357537779</v>
      </c>
      <c r="F76" s="4">
        <f t="shared" si="1"/>
        <v>1.051464650887654</v>
      </c>
    </row>
    <row r="77" spans="1:6" x14ac:dyDescent="0.35">
      <c r="A77" s="2">
        <v>75</v>
      </c>
      <c r="B77" s="4"/>
      <c r="C77" s="2">
        <v>2021</v>
      </c>
      <c r="D77" s="16">
        <v>283602993676</v>
      </c>
      <c r="E77" s="16">
        <v>378946292335</v>
      </c>
      <c r="F77" s="4">
        <f t="shared" si="1"/>
        <v>0.74839891407430992</v>
      </c>
    </row>
    <row r="78" spans="1:6" x14ac:dyDescent="0.35">
      <c r="A78" s="2">
        <v>76</v>
      </c>
      <c r="B78" s="4"/>
      <c r="C78" s="2">
        <v>2022</v>
      </c>
      <c r="D78" s="16">
        <v>432247722254</v>
      </c>
      <c r="E78" s="16">
        <v>572782719985</v>
      </c>
      <c r="F78" s="4">
        <f t="shared" si="1"/>
        <v>0.75464518598836161</v>
      </c>
    </row>
    <row r="79" spans="1:6" x14ac:dyDescent="0.35">
      <c r="A79" s="2">
        <v>77</v>
      </c>
      <c r="B79" s="3" t="s">
        <v>22</v>
      </c>
      <c r="C79" s="5">
        <v>2019</v>
      </c>
      <c r="D79" s="16">
        <v>957169058</v>
      </c>
      <c r="E79" s="16">
        <v>5163201735</v>
      </c>
      <c r="F79" s="4">
        <f t="shared" si="1"/>
        <v>0.18538285101502044</v>
      </c>
    </row>
    <row r="80" spans="1:6" x14ac:dyDescent="0.35">
      <c r="A80" s="2">
        <v>78</v>
      </c>
      <c r="B80" s="4"/>
      <c r="C80" s="2">
        <v>2020</v>
      </c>
      <c r="D80" s="16">
        <v>5415741808</v>
      </c>
      <c r="E80" s="16">
        <v>13568762041</v>
      </c>
      <c r="F80" s="4">
        <f t="shared" si="1"/>
        <v>0.3991330816794888</v>
      </c>
    </row>
    <row r="81" spans="1:6" x14ac:dyDescent="0.35">
      <c r="A81" s="2">
        <v>79</v>
      </c>
      <c r="B81" s="4"/>
      <c r="C81" s="2">
        <v>2021</v>
      </c>
      <c r="D81" s="16">
        <v>29707421605</v>
      </c>
      <c r="E81" s="16">
        <v>44152540846</v>
      </c>
      <c r="F81" s="4">
        <f t="shared" si="1"/>
        <v>0.67283605961923576</v>
      </c>
    </row>
    <row r="82" spans="1:6" x14ac:dyDescent="0.35">
      <c r="A82" s="2">
        <v>80</v>
      </c>
      <c r="B82" s="4"/>
      <c r="C82" s="2">
        <v>2022</v>
      </c>
      <c r="D82" s="16">
        <v>86635603936</v>
      </c>
      <c r="E82" s="16">
        <v>117187513903</v>
      </c>
      <c r="F82" s="4">
        <f t="shared" si="1"/>
        <v>0.73929039921190898</v>
      </c>
    </row>
    <row r="83" spans="1:6" x14ac:dyDescent="0.35">
      <c r="A83" s="2">
        <v>81</v>
      </c>
      <c r="B83" s="3" t="s">
        <v>23</v>
      </c>
      <c r="C83" s="5">
        <v>2019</v>
      </c>
      <c r="D83" s="16">
        <v>44943627900</v>
      </c>
      <c r="E83" s="16">
        <v>56782206578</v>
      </c>
      <c r="F83" s="4">
        <f t="shared" si="1"/>
        <v>0.79150900622825038</v>
      </c>
    </row>
    <row r="84" spans="1:6" x14ac:dyDescent="0.35">
      <c r="A84" s="2">
        <v>82</v>
      </c>
      <c r="B84" s="4"/>
      <c r="C84" s="2">
        <v>2020</v>
      </c>
      <c r="D84" s="16">
        <v>42520246722</v>
      </c>
      <c r="E84" s="16">
        <v>55673983557</v>
      </c>
      <c r="F84" s="4">
        <f t="shared" si="1"/>
        <v>0.76373638107765407</v>
      </c>
    </row>
    <row r="85" spans="1:6" x14ac:dyDescent="0.35">
      <c r="A85" s="2">
        <v>83</v>
      </c>
      <c r="B85" s="4"/>
      <c r="C85" s="2">
        <v>2021</v>
      </c>
      <c r="D85" s="16">
        <v>84524160228</v>
      </c>
      <c r="E85" s="16">
        <v>101725399549</v>
      </c>
      <c r="F85" s="4">
        <f t="shared" si="1"/>
        <v>0.83090516825432226</v>
      </c>
    </row>
    <row r="86" spans="1:6" x14ac:dyDescent="0.35">
      <c r="A86" s="2">
        <v>84</v>
      </c>
      <c r="B86" s="4"/>
      <c r="C86" s="2">
        <v>2022</v>
      </c>
      <c r="D86" s="16">
        <v>74865302076</v>
      </c>
      <c r="E86" s="16">
        <v>92439536022</v>
      </c>
      <c r="F86" s="4">
        <f t="shared" si="1"/>
        <v>0.80988400956688655</v>
      </c>
    </row>
    <row r="87" spans="1:6" x14ac:dyDescent="0.35">
      <c r="A87" s="2">
        <v>85</v>
      </c>
      <c r="B87" s="3" t="s">
        <v>24</v>
      </c>
      <c r="C87" s="5">
        <v>2019</v>
      </c>
      <c r="D87" s="16">
        <v>898698000000</v>
      </c>
      <c r="E87" s="16">
        <v>1166053000000</v>
      </c>
      <c r="F87" s="4">
        <f t="shared" si="1"/>
        <v>0.77071796908030765</v>
      </c>
    </row>
    <row r="88" spans="1:6" x14ac:dyDescent="0.35">
      <c r="A88" s="2">
        <v>86</v>
      </c>
      <c r="B88" s="4"/>
      <c r="C88" s="2">
        <v>2020</v>
      </c>
      <c r="D88" s="16">
        <v>1539798000000</v>
      </c>
      <c r="E88" s="16">
        <v>2087780000000</v>
      </c>
      <c r="F88" s="4">
        <f t="shared" si="1"/>
        <v>0.73752885840462112</v>
      </c>
    </row>
    <row r="89" spans="1:6" x14ac:dyDescent="0.35">
      <c r="A89" s="2">
        <v>87</v>
      </c>
      <c r="B89" s="4"/>
      <c r="C89" s="2">
        <v>2021</v>
      </c>
      <c r="D89" s="16">
        <v>2829418000000</v>
      </c>
      <c r="E89" s="16">
        <v>3593740000000</v>
      </c>
      <c r="F89" s="4">
        <f t="shared" si="1"/>
        <v>0.78731850384279334</v>
      </c>
    </row>
    <row r="90" spans="1:6" x14ac:dyDescent="0.35">
      <c r="A90" s="2">
        <v>88</v>
      </c>
      <c r="B90" s="4"/>
      <c r="C90" s="2">
        <v>2022</v>
      </c>
      <c r="D90" s="16">
        <v>5504956000000</v>
      </c>
      <c r="E90" s="16">
        <v>6805971000000</v>
      </c>
      <c r="F90" s="4">
        <f t="shared" si="1"/>
        <v>0.8088421181929808</v>
      </c>
    </row>
    <row r="91" spans="1:6" x14ac:dyDescent="0.35">
      <c r="A91" s="2">
        <v>89</v>
      </c>
      <c r="B91" s="3" t="s">
        <v>25</v>
      </c>
      <c r="C91" s="5">
        <v>2019</v>
      </c>
      <c r="D91" s="16">
        <v>12081959000</v>
      </c>
      <c r="E91" s="16">
        <v>899545934000</v>
      </c>
      <c r="F91" s="4">
        <f t="shared" si="1"/>
        <v>1.3431175155531301E-2</v>
      </c>
    </row>
    <row r="92" spans="1:6" x14ac:dyDescent="0.35">
      <c r="A92" s="2">
        <v>90</v>
      </c>
      <c r="B92" s="4"/>
      <c r="C92" s="2">
        <v>2020</v>
      </c>
      <c r="D92" s="16">
        <v>580854940000</v>
      </c>
      <c r="E92" s="16">
        <v>154592621000</v>
      </c>
      <c r="F92" s="4">
        <f t="shared" si="1"/>
        <v>3.7573264250432756</v>
      </c>
    </row>
    <row r="93" spans="1:6" x14ac:dyDescent="0.35">
      <c r="A93" s="2">
        <v>91</v>
      </c>
      <c r="B93" s="4"/>
      <c r="C93" s="2">
        <v>2021</v>
      </c>
      <c r="D93" s="16">
        <v>1526870874000</v>
      </c>
      <c r="E93" s="16">
        <v>1873952184000</v>
      </c>
      <c r="F93" s="4">
        <f t="shared" si="1"/>
        <v>0.81478646415665423</v>
      </c>
    </row>
    <row r="94" spans="1:6" x14ac:dyDescent="0.35">
      <c r="A94" s="2">
        <v>92</v>
      </c>
      <c r="B94" s="4"/>
      <c r="C94" s="2">
        <v>2022</v>
      </c>
      <c r="D94" s="16">
        <v>1848118978000</v>
      </c>
      <c r="E94" s="16">
        <v>2275566311000</v>
      </c>
      <c r="F94" s="4">
        <f t="shared" si="1"/>
        <v>0.81215782157885885</v>
      </c>
    </row>
    <row r="95" spans="1:6" x14ac:dyDescent="0.35">
      <c r="A95" s="2">
        <v>93</v>
      </c>
      <c r="B95" s="3" t="s">
        <v>26</v>
      </c>
      <c r="C95" s="5">
        <v>2019</v>
      </c>
      <c r="D95" s="16">
        <v>482590522840</v>
      </c>
      <c r="E95" s="16">
        <v>607043293422</v>
      </c>
      <c r="F95" s="4">
        <f t="shared" si="1"/>
        <v>0.79498534629970152</v>
      </c>
    </row>
    <row r="96" spans="1:6" x14ac:dyDescent="0.35">
      <c r="A96" s="2">
        <v>94</v>
      </c>
      <c r="B96" s="4"/>
      <c r="C96" s="2">
        <v>2020</v>
      </c>
      <c r="D96" s="16">
        <v>628628879549</v>
      </c>
      <c r="E96" s="16">
        <v>773607195121</v>
      </c>
      <c r="F96" s="4">
        <f t="shared" si="1"/>
        <v>0.81259440645543124</v>
      </c>
    </row>
    <row r="97" spans="1:6" x14ac:dyDescent="0.35">
      <c r="A97" s="2">
        <v>95</v>
      </c>
      <c r="B97" s="4"/>
      <c r="C97" s="2">
        <v>2021</v>
      </c>
      <c r="D97" s="16">
        <v>617573766863</v>
      </c>
      <c r="E97" s="16">
        <v>765188720115</v>
      </c>
      <c r="F97" s="4">
        <f t="shared" si="1"/>
        <v>0.80708686710669886</v>
      </c>
    </row>
    <row r="98" spans="1:6" x14ac:dyDescent="0.35">
      <c r="A98" s="2">
        <v>96</v>
      </c>
      <c r="B98" s="4"/>
      <c r="C98" s="2">
        <v>2022</v>
      </c>
      <c r="D98" s="16">
        <v>624524005786</v>
      </c>
      <c r="E98" s="16">
        <v>756723520605</v>
      </c>
      <c r="F98" s="4">
        <f t="shared" si="1"/>
        <v>0.82530011130973358</v>
      </c>
    </row>
    <row r="99" spans="1:6" x14ac:dyDescent="0.35">
      <c r="A99" s="2">
        <v>97</v>
      </c>
      <c r="B99" s="3" t="s">
        <v>27</v>
      </c>
      <c r="C99" s="5">
        <v>2019</v>
      </c>
      <c r="D99" s="16">
        <v>661034000000</v>
      </c>
      <c r="E99" s="16">
        <v>905158000000</v>
      </c>
      <c r="F99" s="4">
        <f t="shared" si="1"/>
        <v>0.73029681005968017</v>
      </c>
    </row>
    <row r="100" spans="1:6" x14ac:dyDescent="0.35">
      <c r="A100" s="2">
        <v>98</v>
      </c>
      <c r="B100" s="4"/>
      <c r="C100" s="2">
        <v>2020</v>
      </c>
      <c r="D100" s="16">
        <v>680730000000</v>
      </c>
      <c r="E100" s="16">
        <v>901334000000</v>
      </c>
      <c r="F100" s="4">
        <f t="shared" si="1"/>
        <v>0.7552472224502792</v>
      </c>
    </row>
    <row r="101" spans="1:6" x14ac:dyDescent="0.35">
      <c r="A101" s="2">
        <v>99</v>
      </c>
      <c r="B101" s="4"/>
      <c r="C101" s="2">
        <v>2021</v>
      </c>
      <c r="D101" s="16">
        <v>791916000000</v>
      </c>
      <c r="E101" s="16">
        <v>1022870000000</v>
      </c>
      <c r="F101" s="4">
        <f t="shared" si="1"/>
        <v>0.77420982138492678</v>
      </c>
    </row>
    <row r="102" spans="1:6" x14ac:dyDescent="0.35">
      <c r="A102" s="2">
        <v>100</v>
      </c>
      <c r="B102" s="4"/>
      <c r="C102" s="2">
        <v>2022</v>
      </c>
      <c r="D102" s="16">
        <v>801440000000</v>
      </c>
      <c r="E102" s="16">
        <v>1020318000000</v>
      </c>
      <c r="F102" s="4">
        <f t="shared" si="1"/>
        <v>0.7854806050662636</v>
      </c>
    </row>
    <row r="103" spans="1:6" x14ac:dyDescent="0.35">
      <c r="A103" s="2">
        <v>101</v>
      </c>
      <c r="B103" s="3" t="s">
        <v>28</v>
      </c>
      <c r="C103" s="5">
        <v>2019</v>
      </c>
      <c r="D103" s="16">
        <v>428418484105</v>
      </c>
      <c r="E103" s="16">
        <v>553046935019</v>
      </c>
      <c r="F103" s="4">
        <f t="shared" si="1"/>
        <v>0.77465122212508353</v>
      </c>
    </row>
    <row r="104" spans="1:6" x14ac:dyDescent="0.35">
      <c r="A104" s="2">
        <v>102</v>
      </c>
      <c r="B104" s="4"/>
      <c r="C104" s="2">
        <v>2020</v>
      </c>
      <c r="D104" s="16">
        <v>478561152411</v>
      </c>
      <c r="E104" s="16">
        <v>625284763496</v>
      </c>
      <c r="F104" s="4">
        <f t="shared" si="1"/>
        <v>0.76534913426538564</v>
      </c>
    </row>
    <row r="105" spans="1:6" x14ac:dyDescent="0.35">
      <c r="A105" s="2">
        <v>103</v>
      </c>
      <c r="B105" s="4"/>
      <c r="C105" s="2">
        <v>2021</v>
      </c>
      <c r="D105" s="16">
        <v>481109483989</v>
      </c>
      <c r="E105" s="16">
        <v>608171241151</v>
      </c>
      <c r="F105" s="4">
        <f t="shared" si="1"/>
        <v>0.79107568960096153</v>
      </c>
    </row>
    <row r="106" spans="1:6" x14ac:dyDescent="0.35">
      <c r="A106" s="2">
        <v>104</v>
      </c>
      <c r="B106" s="4"/>
      <c r="C106" s="2">
        <v>2022</v>
      </c>
      <c r="D106" s="16">
        <v>478266312889</v>
      </c>
      <c r="E106" s="16">
        <v>604907275214</v>
      </c>
      <c r="F106" s="4">
        <f t="shared" si="1"/>
        <v>0.79064400857106931</v>
      </c>
    </row>
    <row r="107" spans="1:6" x14ac:dyDescent="0.35">
      <c r="A107" s="2">
        <v>105</v>
      </c>
      <c r="B107" s="3" t="s">
        <v>29</v>
      </c>
      <c r="C107" s="5">
        <v>2019</v>
      </c>
      <c r="D107" s="16">
        <v>1035865000000</v>
      </c>
      <c r="E107" s="16">
        <v>1375359000000</v>
      </c>
      <c r="F107" s="4">
        <f t="shared" si="1"/>
        <v>0.75315972048025281</v>
      </c>
    </row>
    <row r="108" spans="1:6" x14ac:dyDescent="0.35">
      <c r="A108" s="2">
        <v>106</v>
      </c>
      <c r="B108" s="4"/>
      <c r="C108" s="2">
        <v>2020</v>
      </c>
      <c r="D108" s="16">
        <v>1109666000000</v>
      </c>
      <c r="E108" s="16">
        <v>1421517000000</v>
      </c>
      <c r="F108" s="4">
        <f t="shared" si="1"/>
        <v>0.78062098448347783</v>
      </c>
    </row>
    <row r="109" spans="1:6" x14ac:dyDescent="0.35">
      <c r="A109" s="2">
        <v>107</v>
      </c>
      <c r="B109" s="4"/>
      <c r="C109" s="2">
        <v>2021</v>
      </c>
      <c r="D109" s="16">
        <v>1276793000000</v>
      </c>
      <c r="E109" s="16">
        <v>1541932000000</v>
      </c>
      <c r="F109" s="4">
        <f t="shared" si="1"/>
        <v>0.8280475403584594</v>
      </c>
    </row>
    <row r="110" spans="1:6" x14ac:dyDescent="0.35">
      <c r="A110" s="2">
        <v>108</v>
      </c>
      <c r="B110" s="4"/>
      <c r="C110" s="2">
        <v>2022</v>
      </c>
      <c r="D110" s="16">
        <v>965486000000</v>
      </c>
      <c r="E110" s="16">
        <v>1288998000000</v>
      </c>
      <c r="F110" s="4">
        <f t="shared" si="1"/>
        <v>0.74902055705284265</v>
      </c>
    </row>
    <row r="111" spans="1:6" x14ac:dyDescent="0.35">
      <c r="A111" s="56">
        <v>109</v>
      </c>
      <c r="B111" s="57" t="s">
        <v>65</v>
      </c>
      <c r="C111" s="58">
        <v>2019</v>
      </c>
      <c r="D111" s="33">
        <v>10880704000000</v>
      </c>
      <c r="E111" s="33">
        <v>14487736000000</v>
      </c>
      <c r="F111" s="59">
        <f t="shared" si="1"/>
        <v>0.75102859411574041</v>
      </c>
    </row>
    <row r="112" spans="1:6" x14ac:dyDescent="0.35">
      <c r="A112" s="2">
        <v>110</v>
      </c>
      <c r="B112" s="3"/>
      <c r="C112" s="2">
        <v>2020</v>
      </c>
      <c r="D112" s="16">
        <v>7647729000000</v>
      </c>
      <c r="E112" s="16">
        <v>9663133000000</v>
      </c>
      <c r="F112" s="4">
        <f t="shared" si="1"/>
        <v>0.79143368925999469</v>
      </c>
    </row>
    <row r="113" spans="1:6" x14ac:dyDescent="0.35">
      <c r="A113" s="2">
        <v>111</v>
      </c>
      <c r="B113" s="3"/>
      <c r="C113" s="2">
        <v>2021</v>
      </c>
      <c r="D113" s="16">
        <v>5605321000000</v>
      </c>
      <c r="E113" s="16">
        <v>7286846000000</v>
      </c>
      <c r="F113" s="4">
        <f t="shared" si="1"/>
        <v>0.76923829596508553</v>
      </c>
    </row>
    <row r="114" spans="1:6" x14ac:dyDescent="0.35">
      <c r="A114" s="2">
        <v>112</v>
      </c>
      <c r="B114" s="3"/>
      <c r="C114" s="2">
        <v>2022</v>
      </c>
      <c r="D114" s="16">
        <v>2779742000000</v>
      </c>
      <c r="E114" s="16">
        <v>3646521000000</v>
      </c>
      <c r="F114" s="4">
        <f t="shared" si="1"/>
        <v>0.76229973720156829</v>
      </c>
    </row>
    <row r="115" spans="1:6" x14ac:dyDescent="0.35">
      <c r="A115" s="2">
        <v>113</v>
      </c>
      <c r="B115" s="3" t="s">
        <v>66</v>
      </c>
      <c r="C115" s="5">
        <v>2019</v>
      </c>
      <c r="D115" s="16">
        <v>27328091481</v>
      </c>
      <c r="E115" s="16">
        <v>42874167628</v>
      </c>
      <c r="F115" s="4">
        <f t="shared" si="1"/>
        <v>0.63740226324890181</v>
      </c>
    </row>
    <row r="116" spans="1:6" x14ac:dyDescent="0.35">
      <c r="A116" s="2">
        <v>114</v>
      </c>
      <c r="B116" s="3"/>
      <c r="C116" s="2">
        <v>2020</v>
      </c>
      <c r="D116" s="16">
        <v>172506562986</v>
      </c>
      <c r="E116" s="16">
        <v>215214468586</v>
      </c>
      <c r="F116" s="4">
        <f t="shared" si="1"/>
        <v>0.80155653158173301</v>
      </c>
    </row>
    <row r="117" spans="1:6" x14ac:dyDescent="0.35">
      <c r="A117" s="2">
        <v>115</v>
      </c>
      <c r="B117" s="3"/>
      <c r="C117" s="2">
        <v>2021</v>
      </c>
      <c r="D117" s="16">
        <v>176877010231</v>
      </c>
      <c r="E117" s="16">
        <v>214884126122</v>
      </c>
      <c r="F117" s="4">
        <f t="shared" si="1"/>
        <v>0.82312739159977999</v>
      </c>
    </row>
    <row r="118" spans="1:6" x14ac:dyDescent="0.35">
      <c r="A118" s="2">
        <v>116</v>
      </c>
      <c r="B118" s="3"/>
      <c r="C118" s="2">
        <v>2022</v>
      </c>
      <c r="D118" s="16">
        <v>249644129079</v>
      </c>
      <c r="E118" s="16">
        <v>319471051042</v>
      </c>
      <c r="F118" s="4">
        <f t="shared" si="1"/>
        <v>0.7814295795025884</v>
      </c>
    </row>
    <row r="119" spans="1:6" x14ac:dyDescent="0.35">
      <c r="A119" s="2">
        <v>117</v>
      </c>
      <c r="B119" s="3" t="s">
        <v>67</v>
      </c>
      <c r="C119" s="5">
        <v>2019</v>
      </c>
      <c r="D119" s="16">
        <v>13721513000000</v>
      </c>
      <c r="E119" s="16">
        <v>18259423000000</v>
      </c>
      <c r="F119" s="4">
        <f t="shared" si="1"/>
        <v>0.75147571749665909</v>
      </c>
    </row>
    <row r="120" spans="1:6" x14ac:dyDescent="0.35">
      <c r="A120" s="2">
        <v>118</v>
      </c>
      <c r="B120" s="3"/>
      <c r="C120" s="2">
        <v>2020</v>
      </c>
      <c r="D120" s="16">
        <v>8581378000000</v>
      </c>
      <c r="E120" s="16">
        <v>11161466000000</v>
      </c>
      <c r="F120" s="4">
        <f t="shared" si="1"/>
        <v>0.76883968467941399</v>
      </c>
    </row>
    <row r="121" spans="1:6" x14ac:dyDescent="0.35">
      <c r="A121" s="2">
        <v>119</v>
      </c>
      <c r="B121" s="3"/>
      <c r="C121" s="2">
        <v>2021</v>
      </c>
      <c r="D121" s="16">
        <v>7137097000000</v>
      </c>
      <c r="E121" s="16">
        <v>9152166000000</v>
      </c>
      <c r="F121" s="4">
        <f t="shared" si="1"/>
        <v>0.77982599965953414</v>
      </c>
    </row>
    <row r="122" spans="1:6" x14ac:dyDescent="0.35">
      <c r="A122" s="2">
        <v>120</v>
      </c>
      <c r="B122" s="3"/>
      <c r="C122" s="2">
        <v>2022</v>
      </c>
      <c r="D122" s="16">
        <v>6323744000000</v>
      </c>
      <c r="E122" s="16">
        <v>8273059000000</v>
      </c>
      <c r="F122" s="4">
        <f t="shared" si="1"/>
        <v>0.76437796466820795</v>
      </c>
    </row>
    <row r="123" spans="1:6" x14ac:dyDescent="0.35">
      <c r="A123" s="2">
        <v>121</v>
      </c>
      <c r="B123" s="3" t="s">
        <v>68</v>
      </c>
      <c r="C123" s="5">
        <v>2019</v>
      </c>
      <c r="D123" s="16">
        <v>7392837000000</v>
      </c>
      <c r="E123" s="16">
        <v>9901772000000</v>
      </c>
      <c r="F123" s="4">
        <f t="shared" si="1"/>
        <v>0.74661757511685789</v>
      </c>
    </row>
    <row r="124" spans="1:6" x14ac:dyDescent="0.35">
      <c r="A124" s="2">
        <v>122</v>
      </c>
      <c r="B124" s="3"/>
      <c r="C124" s="2">
        <v>2020</v>
      </c>
      <c r="D124" s="16">
        <v>7163536000000</v>
      </c>
      <c r="E124" s="16">
        <v>9206869000000</v>
      </c>
      <c r="F124" s="4">
        <f t="shared" si="1"/>
        <v>0.77806429091149232</v>
      </c>
    </row>
    <row r="125" spans="1:6" x14ac:dyDescent="0.35">
      <c r="A125" s="2">
        <v>123</v>
      </c>
      <c r="B125" s="3"/>
      <c r="C125" s="2">
        <v>2021</v>
      </c>
      <c r="D125" s="16">
        <v>5758148000000</v>
      </c>
      <c r="E125" s="16">
        <v>7496592000000</v>
      </c>
      <c r="F125" s="4">
        <f t="shared" si="1"/>
        <v>0.76810209225738846</v>
      </c>
    </row>
    <row r="126" spans="1:6" x14ac:dyDescent="0.35">
      <c r="A126" s="2">
        <v>124</v>
      </c>
      <c r="B126" s="3"/>
      <c r="C126" s="2">
        <v>2022</v>
      </c>
      <c r="D126" s="16">
        <v>5364761000000</v>
      </c>
      <c r="E126" s="16">
        <v>6993803000000</v>
      </c>
      <c r="F126" s="4">
        <f t="shared" si="1"/>
        <v>0.76707350778968186</v>
      </c>
    </row>
    <row r="127" spans="1:6" x14ac:dyDescent="0.35">
      <c r="A127" s="2">
        <v>125</v>
      </c>
      <c r="B127" s="4" t="s">
        <v>69</v>
      </c>
      <c r="C127" s="5">
        <v>2019</v>
      </c>
      <c r="D127" s="16">
        <v>32133014664</v>
      </c>
      <c r="E127" s="16">
        <v>41383924614</v>
      </c>
      <c r="F127" s="4">
        <f t="shared" si="1"/>
        <v>0.77646127001520637</v>
      </c>
    </row>
    <row r="128" spans="1:6" x14ac:dyDescent="0.35">
      <c r="A128" s="2">
        <v>126</v>
      </c>
      <c r="B128" s="4"/>
      <c r="C128" s="2">
        <v>2020</v>
      </c>
      <c r="D128" s="16">
        <v>1599783419</v>
      </c>
      <c r="E128" s="16">
        <v>10902705411</v>
      </c>
      <c r="F128" s="4">
        <f t="shared" si="1"/>
        <v>0.14673270153534004</v>
      </c>
    </row>
    <row r="129" spans="1:6" x14ac:dyDescent="0.35">
      <c r="A129" s="2">
        <v>127</v>
      </c>
      <c r="B129" s="4"/>
      <c r="C129" s="2">
        <v>2021</v>
      </c>
      <c r="D129" s="16">
        <v>13140035584</v>
      </c>
      <c r="E129" s="16">
        <v>17000480788</v>
      </c>
      <c r="F129" s="4">
        <f t="shared" si="1"/>
        <v>0.7729214101565326</v>
      </c>
    </row>
    <row r="130" spans="1:6" x14ac:dyDescent="0.35">
      <c r="A130" s="2">
        <v>128</v>
      </c>
      <c r="B130" s="4"/>
      <c r="C130" s="2">
        <v>2022</v>
      </c>
      <c r="D130" s="16">
        <v>698083223</v>
      </c>
      <c r="E130" s="16">
        <v>12230471659</v>
      </c>
      <c r="F130" s="4">
        <f t="shared" si="1"/>
        <v>5.707737546542644E-2</v>
      </c>
    </row>
    <row r="131" spans="1:6" x14ac:dyDescent="0.35">
      <c r="A131" s="2">
        <v>129</v>
      </c>
      <c r="B131" s="4" t="s">
        <v>70</v>
      </c>
      <c r="C131" s="5">
        <v>2019</v>
      </c>
      <c r="D131" s="16">
        <v>218064313042</v>
      </c>
      <c r="E131" s="16">
        <v>283704289385</v>
      </c>
      <c r="F131" s="4">
        <f t="shared" si="1"/>
        <v>0.76863241481018474</v>
      </c>
    </row>
    <row r="132" spans="1:6" x14ac:dyDescent="0.35">
      <c r="A132" s="2">
        <v>130</v>
      </c>
      <c r="B132" s="4"/>
      <c r="C132" s="2">
        <v>2020</v>
      </c>
      <c r="D132" s="16">
        <v>314373402229</v>
      </c>
      <c r="E132" s="16">
        <v>412446157316</v>
      </c>
      <c r="F132" s="4">
        <f t="shared" ref="F132:F162" si="2">D132/E132</f>
        <v>0.76221682916090183</v>
      </c>
    </row>
    <row r="133" spans="1:6" x14ac:dyDescent="0.35">
      <c r="A133" s="2">
        <v>131</v>
      </c>
      <c r="B133" s="4"/>
      <c r="C133" s="2">
        <v>2021</v>
      </c>
      <c r="D133" s="16">
        <v>535295612635</v>
      </c>
      <c r="E133" s="16">
        <v>704423183701</v>
      </c>
      <c r="F133" s="4">
        <f t="shared" si="2"/>
        <v>0.75990629641487206</v>
      </c>
    </row>
    <row r="134" spans="1:6" x14ac:dyDescent="0.35">
      <c r="A134" s="2">
        <v>132</v>
      </c>
      <c r="B134" s="4"/>
      <c r="C134" s="2">
        <v>2022</v>
      </c>
      <c r="D134" s="16">
        <v>177124125126</v>
      </c>
      <c r="E134" s="16">
        <v>233829930377</v>
      </c>
      <c r="F134" s="4">
        <f t="shared" si="2"/>
        <v>0.75749124519870403</v>
      </c>
    </row>
    <row r="135" spans="1:6" x14ac:dyDescent="0.35">
      <c r="A135" s="2">
        <v>133</v>
      </c>
      <c r="B135" s="4" t="s">
        <v>71</v>
      </c>
      <c r="C135" s="5">
        <v>2019</v>
      </c>
      <c r="D135" s="16">
        <v>221783249000</v>
      </c>
      <c r="E135" s="16">
        <v>301250035000</v>
      </c>
      <c r="F135" s="4">
        <f t="shared" si="2"/>
        <v>0.73620986965196533</v>
      </c>
    </row>
    <row r="136" spans="1:6" x14ac:dyDescent="0.35">
      <c r="A136" s="2">
        <v>134</v>
      </c>
      <c r="B136" s="4"/>
      <c r="C136" s="2">
        <v>2020</v>
      </c>
      <c r="D136" s="16">
        <v>162072984000</v>
      </c>
      <c r="E136" s="16">
        <v>214069167000</v>
      </c>
      <c r="F136" s="4">
        <f t="shared" si="2"/>
        <v>0.75710568818161472</v>
      </c>
    </row>
    <row r="137" spans="1:6" x14ac:dyDescent="0.35">
      <c r="A137" s="2">
        <v>135</v>
      </c>
      <c r="B137" s="4"/>
      <c r="C137" s="2">
        <v>2021</v>
      </c>
      <c r="D137" s="16">
        <v>146505337000</v>
      </c>
      <c r="E137" s="16">
        <v>211511203000</v>
      </c>
      <c r="F137" s="4">
        <f t="shared" si="2"/>
        <v>0.69265993915225377</v>
      </c>
    </row>
    <row r="138" spans="1:6" x14ac:dyDescent="0.35">
      <c r="A138" s="2">
        <v>136</v>
      </c>
      <c r="B138" s="4"/>
      <c r="C138" s="2">
        <v>2022</v>
      </c>
      <c r="D138" s="16">
        <v>149375011000</v>
      </c>
      <c r="E138" s="16">
        <v>201073217000</v>
      </c>
      <c r="F138" s="4">
        <f t="shared" si="2"/>
        <v>0.74288865135131343</v>
      </c>
    </row>
    <row r="139" spans="1:6" x14ac:dyDescent="0.35">
      <c r="A139" s="2">
        <v>137</v>
      </c>
      <c r="B139" s="4" t="s">
        <v>72</v>
      </c>
      <c r="C139" s="5">
        <v>2019</v>
      </c>
      <c r="D139" s="16">
        <v>2537601823645</v>
      </c>
      <c r="E139" s="16">
        <v>3402616824533</v>
      </c>
      <c r="F139" s="4">
        <f t="shared" si="2"/>
        <v>0.74577948517411419</v>
      </c>
    </row>
    <row r="140" spans="1:6" x14ac:dyDescent="0.35">
      <c r="A140" s="2">
        <v>138</v>
      </c>
      <c r="B140" s="4"/>
      <c r="C140" s="2">
        <v>2020</v>
      </c>
      <c r="D140" s="16">
        <v>2799622515814</v>
      </c>
      <c r="E140" s="16">
        <v>3627632574744</v>
      </c>
      <c r="F140" s="4">
        <f t="shared" si="2"/>
        <v>0.77174919403505682</v>
      </c>
    </row>
    <row r="141" spans="1:6" x14ac:dyDescent="0.35">
      <c r="A141" s="2">
        <v>139</v>
      </c>
      <c r="B141" s="4"/>
      <c r="C141" s="2">
        <v>2021</v>
      </c>
      <c r="D141" s="16">
        <v>3232007683281</v>
      </c>
      <c r="E141" s="16">
        <v>4143264634774</v>
      </c>
      <c r="F141" s="4">
        <f t="shared" si="2"/>
        <v>0.78006305852517532</v>
      </c>
    </row>
    <row r="142" spans="1:6" x14ac:dyDescent="0.35">
      <c r="A142" s="2">
        <v>140</v>
      </c>
      <c r="B142" s="4"/>
      <c r="C142" s="2">
        <v>2022</v>
      </c>
      <c r="D142" s="16">
        <v>3450083412291</v>
      </c>
      <c r="E142" s="16">
        <v>4458896905350</v>
      </c>
      <c r="F142" s="4">
        <f t="shared" si="2"/>
        <v>0.77375267594804065</v>
      </c>
    </row>
    <row r="143" spans="1:6" x14ac:dyDescent="0.35">
      <c r="A143" s="2">
        <v>141</v>
      </c>
      <c r="B143" s="4" t="s">
        <v>73</v>
      </c>
      <c r="C143" s="5">
        <v>2019</v>
      </c>
      <c r="D143" s="16">
        <v>78256797000</v>
      </c>
      <c r="E143" s="16">
        <v>125899182000</v>
      </c>
      <c r="F143" s="4">
        <f t="shared" si="2"/>
        <v>0.62158304571033673</v>
      </c>
    </row>
    <row r="144" spans="1:6" x14ac:dyDescent="0.35">
      <c r="A144" s="2">
        <v>142</v>
      </c>
      <c r="B144" s="4"/>
      <c r="C144" s="2">
        <v>2020</v>
      </c>
      <c r="D144" s="16">
        <v>71902263000</v>
      </c>
      <c r="E144" s="16">
        <v>105999860000</v>
      </c>
      <c r="F144" s="4">
        <f t="shared" si="2"/>
        <v>0.6783241317488532</v>
      </c>
    </row>
    <row r="145" spans="1:6" x14ac:dyDescent="0.35">
      <c r="A145" s="2">
        <v>143</v>
      </c>
      <c r="B145" s="4"/>
      <c r="C145" s="2">
        <v>2021</v>
      </c>
      <c r="D145" s="16">
        <v>131660834000</v>
      </c>
      <c r="E145" s="16">
        <v>190499576000</v>
      </c>
      <c r="F145" s="4">
        <f t="shared" si="2"/>
        <v>0.69113452514980922</v>
      </c>
    </row>
    <row r="146" spans="1:6" x14ac:dyDescent="0.35">
      <c r="A146" s="2">
        <v>144</v>
      </c>
      <c r="B146" s="4"/>
      <c r="C146" s="2">
        <v>2022</v>
      </c>
      <c r="D146" s="16">
        <v>179837759000</v>
      </c>
      <c r="E146" s="16">
        <v>237778369000</v>
      </c>
      <c r="F146" s="4">
        <f t="shared" si="2"/>
        <v>0.75632514326818345</v>
      </c>
    </row>
    <row r="147" spans="1:6" x14ac:dyDescent="0.35">
      <c r="A147" s="2">
        <v>145</v>
      </c>
      <c r="B147" s="4" t="s">
        <v>74</v>
      </c>
      <c r="C147" s="5">
        <v>2019</v>
      </c>
      <c r="D147" s="16">
        <v>102310124000</v>
      </c>
      <c r="E147" s="16">
        <v>129656515000</v>
      </c>
      <c r="F147" s="4">
        <f t="shared" si="2"/>
        <v>0.78908587046320045</v>
      </c>
    </row>
    <row r="148" spans="1:6" x14ac:dyDescent="0.35">
      <c r="A148" s="2">
        <v>146</v>
      </c>
      <c r="B148" s="4"/>
      <c r="C148" s="2">
        <v>2020</v>
      </c>
      <c r="D148" s="16">
        <v>48665149000</v>
      </c>
      <c r="E148" s="16">
        <v>64083379000</v>
      </c>
      <c r="F148" s="4">
        <f t="shared" si="2"/>
        <v>0.75940360448221689</v>
      </c>
    </row>
    <row r="149" spans="1:6" x14ac:dyDescent="0.35">
      <c r="A149" s="2">
        <v>147</v>
      </c>
      <c r="B149" s="4"/>
      <c r="C149" s="2">
        <v>2021</v>
      </c>
      <c r="D149" s="16">
        <v>11296951000</v>
      </c>
      <c r="E149" s="16">
        <v>12892095000</v>
      </c>
      <c r="F149" s="4">
        <f t="shared" si="2"/>
        <v>0.87626960552183331</v>
      </c>
    </row>
    <row r="150" spans="1:6" x14ac:dyDescent="0.35">
      <c r="A150" s="2">
        <v>148</v>
      </c>
      <c r="B150" s="4"/>
      <c r="C150" s="2">
        <v>2022</v>
      </c>
      <c r="D150" s="16">
        <v>27395254000</v>
      </c>
      <c r="E150" s="16">
        <v>41502117000</v>
      </c>
      <c r="F150" s="4">
        <f t="shared" si="2"/>
        <v>0.66009292971729616</v>
      </c>
    </row>
    <row r="151" spans="1:6" x14ac:dyDescent="0.35">
      <c r="A151" s="2">
        <v>149</v>
      </c>
      <c r="B151" s="4" t="s">
        <v>75</v>
      </c>
      <c r="C151" s="5">
        <v>2019</v>
      </c>
      <c r="D151" s="16">
        <v>9342718039</v>
      </c>
      <c r="E151" s="16">
        <v>12518822477</v>
      </c>
      <c r="F151" s="4">
        <f t="shared" si="2"/>
        <v>0.7462936754766476</v>
      </c>
    </row>
    <row r="152" spans="1:6" x14ac:dyDescent="0.35">
      <c r="A152" s="2">
        <v>150</v>
      </c>
      <c r="B152" s="4"/>
      <c r="C152" s="2">
        <v>2020</v>
      </c>
      <c r="D152" s="16">
        <v>22104364267</v>
      </c>
      <c r="E152" s="16">
        <v>29642208781</v>
      </c>
      <c r="F152" s="4">
        <f t="shared" si="2"/>
        <v>0.74570570736848762</v>
      </c>
    </row>
    <row r="153" spans="1:6" x14ac:dyDescent="0.35">
      <c r="A153" s="2">
        <v>151</v>
      </c>
      <c r="B153" s="4"/>
      <c r="C153" s="2">
        <v>2021</v>
      </c>
      <c r="D153" s="16">
        <v>5478952440</v>
      </c>
      <c r="E153" s="16">
        <v>8811330955</v>
      </c>
      <c r="F153" s="4">
        <f t="shared" si="2"/>
        <v>0.62180758706957451</v>
      </c>
    </row>
    <row r="154" spans="1:6" x14ac:dyDescent="0.35">
      <c r="A154" s="2">
        <v>152</v>
      </c>
      <c r="B154" s="4"/>
      <c r="C154" s="2">
        <v>2022</v>
      </c>
      <c r="D154" s="16">
        <v>275472011358</v>
      </c>
      <c r="E154" s="16">
        <v>263080101103</v>
      </c>
      <c r="F154" s="4">
        <f t="shared" si="2"/>
        <v>1.0471031834146527</v>
      </c>
    </row>
    <row r="155" spans="1:6" x14ac:dyDescent="0.35">
      <c r="A155" s="2">
        <v>153</v>
      </c>
      <c r="B155" s="4" t="s">
        <v>76</v>
      </c>
      <c r="C155" s="5">
        <v>2019</v>
      </c>
      <c r="D155" s="16">
        <v>807689000000</v>
      </c>
      <c r="E155" s="16">
        <v>1073835000000</v>
      </c>
      <c r="F155" s="4">
        <f t="shared" si="2"/>
        <v>0.75215372939045566</v>
      </c>
    </row>
    <row r="156" spans="1:6" x14ac:dyDescent="0.35">
      <c r="A156" s="2">
        <v>154</v>
      </c>
      <c r="B156" s="4"/>
      <c r="C156" s="2">
        <v>2020</v>
      </c>
      <c r="D156" s="16">
        <v>934016000000</v>
      </c>
      <c r="E156" s="16">
        <v>1199548000000</v>
      </c>
      <c r="F156" s="4">
        <f t="shared" si="2"/>
        <v>0.77863995438281752</v>
      </c>
    </row>
    <row r="157" spans="1:6" x14ac:dyDescent="0.35">
      <c r="A157" s="2">
        <v>155</v>
      </c>
      <c r="B157" s="4"/>
      <c r="C157" s="2">
        <v>2021</v>
      </c>
      <c r="D157" s="16">
        <v>1260898000000</v>
      </c>
      <c r="E157" s="16">
        <v>1613231000000</v>
      </c>
      <c r="F157" s="4">
        <f t="shared" si="2"/>
        <v>0.78159792366995184</v>
      </c>
    </row>
    <row r="158" spans="1:6" x14ac:dyDescent="0.35">
      <c r="A158" s="2">
        <v>156</v>
      </c>
      <c r="B158" s="4"/>
      <c r="C158" s="2">
        <v>2022</v>
      </c>
      <c r="D158" s="16">
        <v>1104714000000</v>
      </c>
      <c r="E158" s="16">
        <v>1419852000000</v>
      </c>
      <c r="F158" s="4">
        <f t="shared" si="2"/>
        <v>0.77804869803331611</v>
      </c>
    </row>
    <row r="159" spans="1:6" x14ac:dyDescent="0.35">
      <c r="A159" s="2">
        <v>157</v>
      </c>
      <c r="B159" s="4" t="s">
        <v>77</v>
      </c>
      <c r="C159" s="5">
        <v>2019</v>
      </c>
      <c r="D159" s="16">
        <v>595154912874</v>
      </c>
      <c r="E159" s="16">
        <v>796220911472</v>
      </c>
      <c r="F159" s="4">
        <f t="shared" si="2"/>
        <v>0.7474746069827749</v>
      </c>
    </row>
    <row r="160" spans="1:6" x14ac:dyDescent="0.35">
      <c r="A160" s="2">
        <v>158</v>
      </c>
      <c r="B160" s="4"/>
      <c r="C160" s="2">
        <v>2020</v>
      </c>
      <c r="D160" s="16">
        <v>834369751682</v>
      </c>
      <c r="E160" s="16">
        <v>1064448534874</v>
      </c>
      <c r="F160" s="4">
        <f t="shared" si="2"/>
        <v>0.78385166059791267</v>
      </c>
    </row>
    <row r="161" spans="1:6" x14ac:dyDescent="0.35">
      <c r="A161" s="2">
        <v>159</v>
      </c>
      <c r="B161" s="4"/>
      <c r="C161" s="2">
        <v>2021</v>
      </c>
      <c r="D161" s="16">
        <v>877817637643</v>
      </c>
      <c r="E161" s="16">
        <v>1098370417471</v>
      </c>
      <c r="F161" s="4">
        <f t="shared" si="2"/>
        <v>0.799200000000161</v>
      </c>
    </row>
    <row r="162" spans="1:6" x14ac:dyDescent="0.35">
      <c r="A162" s="2">
        <v>160</v>
      </c>
      <c r="B162" s="4"/>
      <c r="C162" s="2">
        <v>2022</v>
      </c>
      <c r="D162" s="16">
        <v>1037527882044</v>
      </c>
      <c r="E162" s="16">
        <v>1329822971089</v>
      </c>
      <c r="F162" s="4">
        <f t="shared" si="2"/>
        <v>0.78020000000027234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4E609-0CF9-47A9-A14C-BF448D407618}">
  <dimension ref="A1:F162"/>
  <sheetViews>
    <sheetView zoomScale="89" zoomScaleNormal="89" workbookViewId="0">
      <pane ySplit="750" topLeftCell="A3" activePane="bottomLeft"/>
      <selection sqref="A1:F1"/>
      <selection pane="bottomLeft" activeCell="G15" sqref="G15"/>
    </sheetView>
  </sheetViews>
  <sheetFormatPr defaultRowHeight="14.5" x14ac:dyDescent="0.35"/>
  <cols>
    <col min="1" max="1" width="8.7265625" style="1"/>
    <col min="2" max="2" width="13.26953125" customWidth="1"/>
    <col min="4" max="4" width="20.7265625" style="14" customWidth="1"/>
    <col min="5" max="5" width="22.453125" style="14" customWidth="1"/>
    <col min="6" max="6" width="15" customWidth="1"/>
    <col min="7" max="7" width="16.36328125" customWidth="1"/>
  </cols>
  <sheetData>
    <row r="1" spans="1:6" x14ac:dyDescent="0.35">
      <c r="A1" s="90" t="s">
        <v>62</v>
      </c>
      <c r="B1" s="91"/>
      <c r="C1" s="91"/>
      <c r="D1" s="91"/>
      <c r="E1" s="91"/>
      <c r="F1" s="92"/>
    </row>
    <row r="2" spans="1:6" ht="13" customHeight="1" x14ac:dyDescent="0.35">
      <c r="A2" s="13" t="s">
        <v>2</v>
      </c>
      <c r="B2" s="13" t="s">
        <v>0</v>
      </c>
      <c r="C2" s="13" t="s">
        <v>1</v>
      </c>
      <c r="D2" s="17" t="s">
        <v>38</v>
      </c>
      <c r="E2" s="17" t="s">
        <v>39</v>
      </c>
      <c r="F2" s="67">
        <v>1</v>
      </c>
    </row>
    <row r="3" spans="1:6" x14ac:dyDescent="0.35">
      <c r="A3" s="2">
        <v>1</v>
      </c>
      <c r="B3" s="3" t="s">
        <v>3</v>
      </c>
      <c r="C3" s="5">
        <v>2019</v>
      </c>
      <c r="D3" s="16">
        <v>243629000000</v>
      </c>
      <c r="E3" s="16">
        <v>26974124000000</v>
      </c>
      <c r="F3" s="66">
        <f t="shared" ref="F3:F34" si="0">(D3/E3)*$F$2</f>
        <v>9.0319522517209455E-3</v>
      </c>
    </row>
    <row r="4" spans="1:6" x14ac:dyDescent="0.35">
      <c r="A4" s="2">
        <v>2</v>
      </c>
      <c r="B4" s="4"/>
      <c r="C4" s="2">
        <v>2020</v>
      </c>
      <c r="D4" s="16">
        <v>893779000000</v>
      </c>
      <c r="E4" s="16">
        <v>27781231000000</v>
      </c>
      <c r="F4" s="66">
        <f t="shared" si="0"/>
        <v>3.2172044500115925E-2</v>
      </c>
    </row>
    <row r="5" spans="1:6" x14ac:dyDescent="0.35">
      <c r="A5" s="2">
        <v>3</v>
      </c>
      <c r="B5" s="4"/>
      <c r="C5" s="2">
        <v>2021</v>
      </c>
      <c r="D5" s="16">
        <v>2067362000000</v>
      </c>
      <c r="E5" s="16">
        <v>30399906000000</v>
      </c>
      <c r="F5" s="66">
        <f t="shared" si="0"/>
        <v>6.8005539227654191E-2</v>
      </c>
    </row>
    <row r="6" spans="1:6" x14ac:dyDescent="0.35">
      <c r="A6" s="2">
        <v>4</v>
      </c>
      <c r="B6" s="4"/>
      <c r="C6" s="2">
        <v>2022</v>
      </c>
      <c r="D6" s="16">
        <v>1792050000000</v>
      </c>
      <c r="E6" s="16">
        <v>29249340000000</v>
      </c>
      <c r="F6" s="66">
        <f t="shared" si="0"/>
        <v>6.1268049125211027E-2</v>
      </c>
    </row>
    <row r="7" spans="1:6" x14ac:dyDescent="0.35">
      <c r="A7" s="2">
        <v>5</v>
      </c>
      <c r="B7" s="3" t="s">
        <v>4</v>
      </c>
      <c r="C7" s="5">
        <v>2019</v>
      </c>
      <c r="D7" s="16">
        <v>83885000000</v>
      </c>
      <c r="E7" s="16">
        <v>881275000000</v>
      </c>
      <c r="F7" s="66">
        <f t="shared" si="0"/>
        <v>9.5185952171569596E-2</v>
      </c>
    </row>
    <row r="8" spans="1:6" x14ac:dyDescent="0.35">
      <c r="A8" s="2">
        <v>6</v>
      </c>
      <c r="B8" s="4"/>
      <c r="C8" s="2">
        <v>2020</v>
      </c>
      <c r="D8" s="16">
        <v>135789000000</v>
      </c>
      <c r="E8" s="16">
        <v>958791000000</v>
      </c>
      <c r="F8" s="66">
        <f t="shared" si="0"/>
        <v>0.14162523427942064</v>
      </c>
    </row>
    <row r="9" spans="1:6" x14ac:dyDescent="0.35">
      <c r="A9" s="2">
        <v>7</v>
      </c>
      <c r="B9" s="4"/>
      <c r="C9" s="2">
        <v>2021</v>
      </c>
      <c r="D9" s="16">
        <v>265758000000</v>
      </c>
      <c r="E9" s="16">
        <v>1304108000000</v>
      </c>
      <c r="F9" s="66">
        <f t="shared" si="0"/>
        <v>0.2037852693181853</v>
      </c>
    </row>
    <row r="10" spans="1:6" x14ac:dyDescent="0.35">
      <c r="A10" s="2">
        <v>8</v>
      </c>
      <c r="B10" s="4"/>
      <c r="C10" s="2">
        <v>2022</v>
      </c>
      <c r="D10" s="16">
        <v>364972000000</v>
      </c>
      <c r="E10" s="16">
        <v>1645582000000</v>
      </c>
      <c r="F10" s="66">
        <f t="shared" si="0"/>
        <v>0.22178900838730614</v>
      </c>
    </row>
    <row r="11" spans="1:6" x14ac:dyDescent="0.35">
      <c r="A11" s="2">
        <v>9</v>
      </c>
      <c r="B11" s="3" t="s">
        <v>5</v>
      </c>
      <c r="C11" s="5">
        <v>2019</v>
      </c>
      <c r="D11" s="16">
        <v>306952000000</v>
      </c>
      <c r="E11" s="16">
        <v>2941056000000</v>
      </c>
      <c r="F11" s="66">
        <f t="shared" si="0"/>
        <v>0.10436795491143318</v>
      </c>
    </row>
    <row r="12" spans="1:6" x14ac:dyDescent="0.35">
      <c r="A12" s="2">
        <v>10</v>
      </c>
      <c r="B12" s="4"/>
      <c r="C12" s="2">
        <v>2020</v>
      </c>
      <c r="D12" s="16">
        <v>275667000000</v>
      </c>
      <c r="E12" s="16">
        <v>2914979000000</v>
      </c>
      <c r="F12" s="66">
        <f t="shared" si="0"/>
        <v>9.4569120395035441E-2</v>
      </c>
    </row>
    <row r="13" spans="1:6" x14ac:dyDescent="0.35">
      <c r="A13" s="2">
        <v>11</v>
      </c>
      <c r="B13" s="4"/>
      <c r="C13" s="2">
        <v>2021</v>
      </c>
      <c r="D13" s="16">
        <v>380992000000</v>
      </c>
      <c r="E13" s="16">
        <v>3132202000000</v>
      </c>
      <c r="F13" s="66">
        <f t="shared" si="0"/>
        <v>0.1216371102502329</v>
      </c>
    </row>
    <row r="14" spans="1:6" x14ac:dyDescent="0.35">
      <c r="A14" s="2">
        <v>12</v>
      </c>
      <c r="B14" s="4"/>
      <c r="C14" s="2">
        <v>2022</v>
      </c>
      <c r="D14" s="16">
        <v>523242000000</v>
      </c>
      <c r="E14" s="16">
        <v>3410482000000</v>
      </c>
      <c r="F14" s="66">
        <f t="shared" si="0"/>
        <v>0.15342171575747945</v>
      </c>
    </row>
    <row r="15" spans="1:6" x14ac:dyDescent="0.35">
      <c r="A15" s="2">
        <v>13</v>
      </c>
      <c r="B15" s="3" t="s">
        <v>6</v>
      </c>
      <c r="C15" s="5">
        <v>2019</v>
      </c>
      <c r="D15" s="16">
        <v>64021000000</v>
      </c>
      <c r="E15" s="16">
        <v>2999767000000</v>
      </c>
      <c r="F15" s="66">
        <f t="shared" si="0"/>
        <v>2.1341990894626149E-2</v>
      </c>
    </row>
    <row r="16" spans="1:6" x14ac:dyDescent="0.35">
      <c r="A16" s="2">
        <v>14</v>
      </c>
      <c r="B16" s="4"/>
      <c r="C16" s="2">
        <v>2020</v>
      </c>
      <c r="D16" s="16">
        <v>67093000000</v>
      </c>
      <c r="E16" s="16">
        <v>2963007000000</v>
      </c>
      <c r="F16" s="66">
        <f t="shared" si="0"/>
        <v>2.2643550960223854E-2</v>
      </c>
    </row>
    <row r="17" spans="1:6" x14ac:dyDescent="0.35">
      <c r="A17" s="2">
        <v>15</v>
      </c>
      <c r="B17" s="4"/>
      <c r="C17" s="2">
        <v>2021</v>
      </c>
      <c r="D17" s="16">
        <v>91723000000</v>
      </c>
      <c r="E17" s="16">
        <v>2993218000000</v>
      </c>
      <c r="F17" s="66">
        <f t="shared" si="0"/>
        <v>3.0643608317202423E-2</v>
      </c>
    </row>
    <row r="18" spans="1:6" x14ac:dyDescent="0.35">
      <c r="A18" s="2">
        <v>16</v>
      </c>
      <c r="B18" s="4"/>
      <c r="C18" s="2">
        <v>2022</v>
      </c>
      <c r="D18" s="16">
        <v>93065000000</v>
      </c>
      <c r="E18" s="16">
        <v>3172651000000</v>
      </c>
      <c r="F18" s="66">
        <f t="shared" si="0"/>
        <v>2.9333513203942067E-2</v>
      </c>
    </row>
    <row r="19" spans="1:6" x14ac:dyDescent="0.35">
      <c r="A19" s="2">
        <v>17</v>
      </c>
      <c r="B19" s="3" t="s">
        <v>7</v>
      </c>
      <c r="C19" s="5">
        <v>2019</v>
      </c>
      <c r="D19" s="16">
        <v>76758829457</v>
      </c>
      <c r="E19" s="16">
        <v>1057529235985</v>
      </c>
      <c r="F19" s="66">
        <f t="shared" si="0"/>
        <v>7.2583174861833091E-2</v>
      </c>
    </row>
    <row r="20" spans="1:6" x14ac:dyDescent="0.35">
      <c r="A20" s="2">
        <v>18</v>
      </c>
      <c r="B20" s="4"/>
      <c r="C20" s="2">
        <v>2020</v>
      </c>
      <c r="D20" s="16">
        <v>44045828312</v>
      </c>
      <c r="E20" s="16">
        <v>1086873666641</v>
      </c>
      <c r="F20" s="66">
        <f t="shared" si="0"/>
        <v>4.0525251152808146E-2</v>
      </c>
    </row>
    <row r="21" spans="1:6" x14ac:dyDescent="0.35">
      <c r="A21" s="2">
        <v>19</v>
      </c>
      <c r="B21" s="4"/>
      <c r="C21" s="2">
        <v>2021</v>
      </c>
      <c r="D21" s="16">
        <v>99278807290</v>
      </c>
      <c r="E21" s="16">
        <v>1146235578463</v>
      </c>
      <c r="F21" s="66">
        <f t="shared" si="0"/>
        <v>8.6612917235673367E-2</v>
      </c>
    </row>
    <row r="22" spans="1:6" x14ac:dyDescent="0.35">
      <c r="A22" s="2">
        <v>20</v>
      </c>
      <c r="B22" s="4"/>
      <c r="C22" s="2">
        <v>2022</v>
      </c>
      <c r="D22" s="16">
        <v>121257336904</v>
      </c>
      <c r="E22" s="16">
        <v>1074777460412</v>
      </c>
      <c r="F22" s="66">
        <f t="shared" si="0"/>
        <v>0.11282087815417882</v>
      </c>
    </row>
    <row r="23" spans="1:6" x14ac:dyDescent="0.35">
      <c r="A23" s="2">
        <v>21</v>
      </c>
      <c r="B23" s="3" t="s">
        <v>8</v>
      </c>
      <c r="C23" s="5">
        <v>2019</v>
      </c>
      <c r="D23" s="16">
        <v>215459200242</v>
      </c>
      <c r="E23" s="16">
        <v>1393079542074</v>
      </c>
      <c r="F23" s="66">
        <f t="shared" si="0"/>
        <v>0.15466396119867423</v>
      </c>
    </row>
    <row r="24" spans="1:6" x14ac:dyDescent="0.35">
      <c r="A24" s="2">
        <v>22</v>
      </c>
      <c r="B24" s="4"/>
      <c r="C24" s="2">
        <v>2020</v>
      </c>
      <c r="D24" s="16">
        <v>181812593992</v>
      </c>
      <c r="E24" s="16">
        <v>1566673828068</v>
      </c>
      <c r="F24" s="66">
        <f t="shared" si="0"/>
        <v>0.11605006143251191</v>
      </c>
    </row>
    <row r="25" spans="1:6" x14ac:dyDescent="0.35">
      <c r="A25" s="2">
        <v>23</v>
      </c>
      <c r="B25" s="4"/>
      <c r="C25" s="2">
        <v>2021</v>
      </c>
      <c r="D25" s="16">
        <v>187066990085</v>
      </c>
      <c r="E25" s="16">
        <v>1697387196209</v>
      </c>
      <c r="F25" s="66">
        <f t="shared" si="0"/>
        <v>0.11020879060641056</v>
      </c>
    </row>
    <row r="26" spans="1:6" x14ac:dyDescent="0.35">
      <c r="A26" s="2">
        <v>24</v>
      </c>
      <c r="B26" s="4"/>
      <c r="C26" s="2">
        <v>2022</v>
      </c>
      <c r="D26" s="16">
        <v>220704543072</v>
      </c>
      <c r="E26" s="16">
        <v>1718287453575</v>
      </c>
      <c r="F26" s="66">
        <f t="shared" si="0"/>
        <v>0.12844448268117828</v>
      </c>
    </row>
    <row r="27" spans="1:6" x14ac:dyDescent="0.35">
      <c r="A27" s="2">
        <v>25</v>
      </c>
      <c r="B27" s="3" t="s">
        <v>9</v>
      </c>
      <c r="C27" s="5">
        <v>2019</v>
      </c>
      <c r="D27" s="16">
        <v>130756461708</v>
      </c>
      <c r="E27" s="16">
        <v>1245144303719</v>
      </c>
      <c r="F27" s="66">
        <f t="shared" si="0"/>
        <v>0.10501309873679403</v>
      </c>
    </row>
    <row r="28" spans="1:6" x14ac:dyDescent="0.35">
      <c r="A28" s="2">
        <v>26</v>
      </c>
      <c r="B28" s="4"/>
      <c r="C28" s="2">
        <v>2020</v>
      </c>
      <c r="D28" s="16">
        <v>132772234495</v>
      </c>
      <c r="E28" s="16">
        <v>1310940121622</v>
      </c>
      <c r="F28" s="66">
        <f t="shared" si="0"/>
        <v>0.10128016703823479</v>
      </c>
    </row>
    <row r="29" spans="1:6" x14ac:dyDescent="0.35">
      <c r="A29" s="2">
        <v>27</v>
      </c>
      <c r="B29" s="4"/>
      <c r="C29" s="2">
        <v>2021</v>
      </c>
      <c r="D29" s="16">
        <v>180711667020</v>
      </c>
      <c r="E29" s="16">
        <v>1348181576913</v>
      </c>
      <c r="F29" s="66">
        <f t="shared" si="0"/>
        <v>0.13404104470392239</v>
      </c>
    </row>
    <row r="30" spans="1:6" x14ac:dyDescent="0.35">
      <c r="A30" s="2">
        <v>28</v>
      </c>
      <c r="B30" s="4"/>
      <c r="C30" s="2">
        <v>2022</v>
      </c>
      <c r="D30" s="16">
        <v>195598848689</v>
      </c>
      <c r="E30" s="16">
        <v>1693523611414</v>
      </c>
      <c r="F30" s="66">
        <f t="shared" si="0"/>
        <v>0.11549815270994988</v>
      </c>
    </row>
    <row r="31" spans="1:6" x14ac:dyDescent="0.35">
      <c r="A31" s="2">
        <v>29</v>
      </c>
      <c r="B31" s="3" t="s">
        <v>10</v>
      </c>
      <c r="C31" s="5">
        <v>2019</v>
      </c>
      <c r="D31" s="16">
        <v>-348863000000</v>
      </c>
      <c r="E31" s="16">
        <v>6000259000000</v>
      </c>
      <c r="F31" s="66">
        <f t="shared" si="0"/>
        <v>-5.8141323566199395E-2</v>
      </c>
    </row>
    <row r="32" spans="1:6" x14ac:dyDescent="0.35">
      <c r="A32" s="2">
        <v>30</v>
      </c>
      <c r="B32" s="4"/>
      <c r="C32" s="2">
        <v>2020</v>
      </c>
      <c r="D32" s="16">
        <v>381422000000</v>
      </c>
      <c r="E32" s="16">
        <v>6326293000000</v>
      </c>
      <c r="F32" s="66">
        <f t="shared" si="0"/>
        <v>6.0291548304828753E-2</v>
      </c>
    </row>
    <row r="33" spans="1:6" x14ac:dyDescent="0.35">
      <c r="A33" s="2">
        <v>31</v>
      </c>
      <c r="B33" s="4"/>
      <c r="C33" s="2">
        <v>2021</v>
      </c>
      <c r="D33" s="16">
        <v>2209313000000</v>
      </c>
      <c r="E33" s="16">
        <v>6444438000000</v>
      </c>
      <c r="F33" s="66">
        <f t="shared" si="0"/>
        <v>0.34282477385925664</v>
      </c>
    </row>
    <row r="34" spans="1:6" x14ac:dyDescent="0.35">
      <c r="A34" s="2">
        <v>32</v>
      </c>
      <c r="B34" s="4"/>
      <c r="C34" s="2">
        <v>2022</v>
      </c>
      <c r="D34" s="16">
        <v>373978000000</v>
      </c>
      <c r="E34" s="16">
        <v>6833737000000</v>
      </c>
      <c r="F34" s="66">
        <f t="shared" si="0"/>
        <v>5.4725255010545475E-2</v>
      </c>
    </row>
    <row r="35" spans="1:6" x14ac:dyDescent="0.35">
      <c r="A35" s="2">
        <v>33</v>
      </c>
      <c r="B35" s="3" t="s">
        <v>11</v>
      </c>
      <c r="C35" s="5">
        <v>2019</v>
      </c>
      <c r="D35" s="16">
        <v>317815177000</v>
      </c>
      <c r="E35" s="16">
        <v>1425983722000</v>
      </c>
      <c r="F35" s="66">
        <f t="shared" ref="F35:F66" si="1">(D35/E35)*$F$2</f>
        <v>0.2228743372710113</v>
      </c>
    </row>
    <row r="36" spans="1:6" x14ac:dyDescent="0.35">
      <c r="A36" s="2">
        <v>34</v>
      </c>
      <c r="B36" s="4"/>
      <c r="C36" s="2">
        <v>2020</v>
      </c>
      <c r="D36" s="16">
        <v>123465762000</v>
      </c>
      <c r="E36" s="16">
        <v>1225580913000</v>
      </c>
      <c r="F36" s="66">
        <f t="shared" si="1"/>
        <v>0.10074060446794833</v>
      </c>
    </row>
    <row r="37" spans="1:6" x14ac:dyDescent="0.35">
      <c r="A37" s="2">
        <v>35</v>
      </c>
      <c r="B37" s="4"/>
      <c r="C37" s="2">
        <v>2021</v>
      </c>
      <c r="D37" s="16">
        <v>187992998000</v>
      </c>
      <c r="E37" s="16">
        <v>1308722065000</v>
      </c>
      <c r="F37" s="66">
        <f t="shared" si="1"/>
        <v>0.14364623553588515</v>
      </c>
    </row>
    <row r="38" spans="1:6" x14ac:dyDescent="0.35">
      <c r="A38" s="2">
        <v>36</v>
      </c>
      <c r="B38" s="4"/>
      <c r="C38" s="2">
        <v>2022</v>
      </c>
      <c r="D38" s="16">
        <v>230065807000</v>
      </c>
      <c r="E38" s="16">
        <v>1307186367000</v>
      </c>
      <c r="F38" s="66">
        <f t="shared" si="1"/>
        <v>0.17600076990399027</v>
      </c>
    </row>
    <row r="39" spans="1:6" x14ac:dyDescent="0.35">
      <c r="A39" s="2">
        <v>37</v>
      </c>
      <c r="B39" s="3" t="s">
        <v>12</v>
      </c>
      <c r="C39" s="5">
        <v>2019</v>
      </c>
      <c r="D39" s="16">
        <v>178164000000</v>
      </c>
      <c r="E39" s="16">
        <v>11620821000000</v>
      </c>
      <c r="F39" s="66">
        <f t="shared" si="1"/>
        <v>1.5331446891747149E-2</v>
      </c>
    </row>
    <row r="40" spans="1:6" x14ac:dyDescent="0.35">
      <c r="A40" s="2">
        <v>38</v>
      </c>
      <c r="B40" s="4"/>
      <c r="C40" s="2">
        <v>2020</v>
      </c>
      <c r="D40" s="16">
        <v>478171000000</v>
      </c>
      <c r="E40" s="16">
        <v>14151383000000</v>
      </c>
      <c r="F40" s="66">
        <f t="shared" si="1"/>
        <v>3.3789700978342538E-2</v>
      </c>
    </row>
    <row r="41" spans="1:6" x14ac:dyDescent="0.35">
      <c r="A41" s="2">
        <v>39</v>
      </c>
      <c r="B41" s="4"/>
      <c r="C41" s="2">
        <v>2021</v>
      </c>
      <c r="D41" s="16">
        <v>739649000000</v>
      </c>
      <c r="E41" s="16">
        <v>13712160000000</v>
      </c>
      <c r="F41" s="66">
        <f t="shared" si="1"/>
        <v>5.3941100453903691E-2</v>
      </c>
    </row>
    <row r="42" spans="1:6" x14ac:dyDescent="0.35">
      <c r="A42" s="2">
        <v>40</v>
      </c>
      <c r="B42" s="4"/>
      <c r="C42" s="2">
        <v>2022</v>
      </c>
      <c r="D42" s="16">
        <v>1206587000000</v>
      </c>
      <c r="E42" s="16">
        <v>15357229000000</v>
      </c>
      <c r="F42" s="66">
        <f t="shared" si="1"/>
        <v>7.8568015102203653E-2</v>
      </c>
    </row>
    <row r="43" spans="1:6" x14ac:dyDescent="0.35">
      <c r="A43" s="2">
        <v>41</v>
      </c>
      <c r="B43" s="3" t="s">
        <v>13</v>
      </c>
      <c r="C43" s="5">
        <v>2019</v>
      </c>
      <c r="D43" s="16">
        <v>435766359480</v>
      </c>
      <c r="E43" s="16">
        <v>5063067672414</v>
      </c>
      <c r="F43" s="66">
        <f t="shared" si="1"/>
        <v>8.606765456726212E-2</v>
      </c>
    </row>
    <row r="44" spans="1:6" x14ac:dyDescent="0.35">
      <c r="A44" s="2">
        <v>42</v>
      </c>
      <c r="B44" s="4"/>
      <c r="C44" s="2">
        <v>2020</v>
      </c>
      <c r="D44" s="16">
        <v>245103761907</v>
      </c>
      <c r="E44" s="16">
        <v>6570969641033</v>
      </c>
      <c r="F44" s="66">
        <f t="shared" si="1"/>
        <v>3.7301003549982628E-2</v>
      </c>
    </row>
    <row r="45" spans="1:6" x14ac:dyDescent="0.35">
      <c r="A45" s="2">
        <v>43</v>
      </c>
      <c r="B45" s="4"/>
      <c r="C45" s="2">
        <v>2021</v>
      </c>
      <c r="D45" s="16">
        <v>492637672186</v>
      </c>
      <c r="E45" s="16">
        <v>6766602280143</v>
      </c>
      <c r="F45" s="66">
        <f t="shared" si="1"/>
        <v>7.2804289625780838E-2</v>
      </c>
    </row>
    <row r="46" spans="1:6" x14ac:dyDescent="0.35">
      <c r="A46" s="2">
        <v>44</v>
      </c>
      <c r="B46" s="4"/>
      <c r="C46" s="2">
        <v>2022</v>
      </c>
      <c r="D46" s="16">
        <v>521714035585</v>
      </c>
      <c r="E46" s="16">
        <v>7327371934290</v>
      </c>
      <c r="F46" s="66">
        <f t="shared" si="1"/>
        <v>7.1200703371358545E-2</v>
      </c>
    </row>
    <row r="47" spans="1:6" x14ac:dyDescent="0.35">
      <c r="A47" s="2">
        <v>45</v>
      </c>
      <c r="B47" s="3" t="s">
        <v>14</v>
      </c>
      <c r="C47" s="5">
        <v>2019</v>
      </c>
      <c r="D47" s="16">
        <v>103723133972</v>
      </c>
      <c r="E47" s="16">
        <v>848676035300</v>
      </c>
      <c r="F47" s="66">
        <f t="shared" si="1"/>
        <v>0.12221758322106353</v>
      </c>
    </row>
    <row r="48" spans="1:6" x14ac:dyDescent="0.35">
      <c r="A48" s="2">
        <v>46</v>
      </c>
      <c r="B48" s="4"/>
      <c r="C48" s="2">
        <v>2020</v>
      </c>
      <c r="D48" s="16">
        <v>38038419405</v>
      </c>
      <c r="E48" s="16">
        <v>906924214166</v>
      </c>
      <c r="F48" s="66">
        <f t="shared" si="1"/>
        <v>4.1942224952037269E-2</v>
      </c>
    </row>
    <row r="49" spans="1:6" x14ac:dyDescent="0.35">
      <c r="A49" s="2">
        <v>47</v>
      </c>
      <c r="B49" s="4"/>
      <c r="C49" s="2">
        <v>2021</v>
      </c>
      <c r="D49" s="16">
        <v>11844682161</v>
      </c>
      <c r="E49" s="16">
        <v>987563580363</v>
      </c>
      <c r="F49" s="66">
        <f t="shared" si="1"/>
        <v>1.1993842620893569E-2</v>
      </c>
    </row>
    <row r="50" spans="1:6" x14ac:dyDescent="0.35">
      <c r="A50" s="2">
        <v>48</v>
      </c>
      <c r="B50" s="4"/>
      <c r="C50" s="2">
        <v>2022</v>
      </c>
      <c r="D50" s="16">
        <v>90572477</v>
      </c>
      <c r="E50" s="16">
        <v>811603660216</v>
      </c>
      <c r="F50" s="66">
        <f t="shared" si="1"/>
        <v>1.1159693017635611E-4</v>
      </c>
    </row>
    <row r="51" spans="1:6" x14ac:dyDescent="0.35">
      <c r="A51" s="2">
        <v>49</v>
      </c>
      <c r="B51" s="3" t="s">
        <v>15</v>
      </c>
      <c r="C51" s="5">
        <v>2019</v>
      </c>
      <c r="D51" s="16">
        <v>5360029000000</v>
      </c>
      <c r="E51" s="16">
        <v>38709314000000</v>
      </c>
      <c r="F51" s="66">
        <f t="shared" si="1"/>
        <v>0.13846871582379372</v>
      </c>
    </row>
    <row r="52" spans="1:6" x14ac:dyDescent="0.35">
      <c r="A52" s="2">
        <v>50</v>
      </c>
      <c r="B52" s="4"/>
      <c r="C52" s="2">
        <v>2020</v>
      </c>
      <c r="D52" s="16">
        <v>7418574000000</v>
      </c>
      <c r="E52" s="16">
        <v>103588325000000</v>
      </c>
      <c r="F52" s="66">
        <f t="shared" si="1"/>
        <v>7.1615927760198844E-2</v>
      </c>
    </row>
    <row r="53" spans="1:6" x14ac:dyDescent="0.35">
      <c r="A53" s="2">
        <v>51</v>
      </c>
      <c r="B53" s="4"/>
      <c r="C53" s="2">
        <v>2021</v>
      </c>
      <c r="D53" s="16">
        <v>7911943000000</v>
      </c>
      <c r="E53" s="16">
        <v>118015311000000</v>
      </c>
      <c r="F53" s="66">
        <f t="shared" si="1"/>
        <v>6.7041665466610514E-2</v>
      </c>
    </row>
    <row r="54" spans="1:6" x14ac:dyDescent="0.35">
      <c r="A54" s="2">
        <v>52</v>
      </c>
      <c r="B54" s="4"/>
      <c r="C54" s="2">
        <v>2022</v>
      </c>
      <c r="D54" s="16">
        <v>5722194000000</v>
      </c>
      <c r="E54" s="16">
        <v>115305536000000</v>
      </c>
      <c r="F54" s="66">
        <f t="shared" si="1"/>
        <v>4.9626359657180728E-2</v>
      </c>
    </row>
    <row r="55" spans="1:6" x14ac:dyDescent="0.35">
      <c r="A55" s="2">
        <v>53</v>
      </c>
      <c r="B55" s="3" t="s">
        <v>16</v>
      </c>
      <c r="C55" s="5">
        <v>2019</v>
      </c>
      <c r="D55" s="16">
        <v>5902729000000</v>
      </c>
      <c r="E55" s="16">
        <v>96198559000000</v>
      </c>
      <c r="F55" s="66">
        <f t="shared" si="1"/>
        <v>6.1359848435983327E-2</v>
      </c>
    </row>
    <row r="56" spans="1:6" x14ac:dyDescent="0.35">
      <c r="A56" s="2">
        <v>54</v>
      </c>
      <c r="B56" s="4"/>
      <c r="C56" s="2">
        <v>2020</v>
      </c>
      <c r="D56" s="16">
        <v>8752066000000</v>
      </c>
      <c r="E56" s="16">
        <v>163136516000000</v>
      </c>
      <c r="F56" s="66">
        <f t="shared" si="1"/>
        <v>5.3648724482996804E-2</v>
      </c>
    </row>
    <row r="57" spans="1:6" x14ac:dyDescent="0.35">
      <c r="A57" s="2">
        <v>55</v>
      </c>
      <c r="B57" s="4"/>
      <c r="C57" s="2">
        <v>2021</v>
      </c>
      <c r="D57" s="16">
        <v>11229695000000</v>
      </c>
      <c r="E57" s="16">
        <v>179271840000000</v>
      </c>
      <c r="F57" s="66">
        <f t="shared" si="1"/>
        <v>6.2640596537638038E-2</v>
      </c>
    </row>
    <row r="58" spans="1:6" x14ac:dyDescent="0.35">
      <c r="A58" s="2">
        <v>56</v>
      </c>
      <c r="B58" s="4"/>
      <c r="C58" s="2">
        <v>2022</v>
      </c>
      <c r="D58" s="16">
        <v>9192569000000</v>
      </c>
      <c r="E58" s="16">
        <v>180433300000000</v>
      </c>
      <c r="F58" s="66">
        <f t="shared" si="1"/>
        <v>5.0947186578087306E-2</v>
      </c>
    </row>
    <row r="59" spans="1:6" x14ac:dyDescent="0.35">
      <c r="A59" s="2">
        <v>57</v>
      </c>
      <c r="B59" s="3" t="s">
        <v>17</v>
      </c>
      <c r="C59" s="5">
        <v>2019</v>
      </c>
      <c r="D59" s="16">
        <v>1793914000000</v>
      </c>
      <c r="E59" s="16">
        <v>26650895000000</v>
      </c>
      <c r="F59" s="66">
        <f t="shared" si="1"/>
        <v>6.7311585595905873E-2</v>
      </c>
    </row>
    <row r="60" spans="1:6" x14ac:dyDescent="0.35">
      <c r="A60" s="2">
        <v>58</v>
      </c>
      <c r="B60" s="4"/>
      <c r="C60" s="2">
        <v>2020</v>
      </c>
      <c r="D60" s="16">
        <v>1221904000000</v>
      </c>
      <c r="E60" s="16">
        <v>25951760000000</v>
      </c>
      <c r="F60" s="66">
        <f t="shared" si="1"/>
        <v>4.7083666001843417E-2</v>
      </c>
    </row>
    <row r="61" spans="1:6" x14ac:dyDescent="0.35">
      <c r="A61" s="2">
        <v>59</v>
      </c>
      <c r="B61" s="4"/>
      <c r="C61" s="2">
        <v>2021</v>
      </c>
      <c r="D61" s="16">
        <v>2130896000000</v>
      </c>
      <c r="E61" s="16">
        <v>28589656000000</v>
      </c>
      <c r="F61" s="66">
        <f t="shared" si="1"/>
        <v>7.4533810410310639E-2</v>
      </c>
    </row>
    <row r="62" spans="1:6" x14ac:dyDescent="0.35">
      <c r="A62" s="2">
        <v>60</v>
      </c>
      <c r="B62" s="4"/>
      <c r="C62" s="2">
        <v>2022</v>
      </c>
      <c r="D62" s="16">
        <v>1490931000000</v>
      </c>
      <c r="E62" s="16">
        <v>32690887000000</v>
      </c>
      <c r="F62" s="66">
        <f t="shared" si="1"/>
        <v>4.5606930151512869E-2</v>
      </c>
    </row>
    <row r="63" spans="1:6" x14ac:dyDescent="0.35">
      <c r="A63" s="2">
        <v>61</v>
      </c>
      <c r="B63" s="3" t="s">
        <v>18</v>
      </c>
      <c r="C63" s="5">
        <v>2019</v>
      </c>
      <c r="D63" s="16">
        <v>252630000000</v>
      </c>
      <c r="E63" s="16">
        <v>10225322000000</v>
      </c>
      <c r="F63" s="66">
        <f t="shared" si="1"/>
        <v>2.4706312427129434E-2</v>
      </c>
    </row>
    <row r="64" spans="1:6" x14ac:dyDescent="0.35">
      <c r="A64" s="2">
        <v>62</v>
      </c>
      <c r="B64" s="4"/>
      <c r="C64" s="2">
        <v>2020</v>
      </c>
      <c r="D64" s="16">
        <v>695490000000</v>
      </c>
      <c r="E64" s="16">
        <v>10922788000000</v>
      </c>
      <c r="F64" s="66">
        <f t="shared" si="1"/>
        <v>6.3673303922038946E-2</v>
      </c>
    </row>
    <row r="65" spans="1:6" x14ac:dyDescent="0.35">
      <c r="A65" s="2">
        <v>63</v>
      </c>
      <c r="B65" s="4"/>
      <c r="C65" s="2">
        <v>2021</v>
      </c>
      <c r="D65" s="16">
        <v>991630000000</v>
      </c>
      <c r="E65" s="16">
        <v>11851269000000</v>
      </c>
      <c r="F65" s="66">
        <f t="shared" si="1"/>
        <v>8.36728961261448E-2</v>
      </c>
    </row>
    <row r="66" spans="1:6" x14ac:dyDescent="0.35">
      <c r="A66" s="2">
        <v>64</v>
      </c>
      <c r="B66" s="4"/>
      <c r="C66" s="2">
        <v>2022</v>
      </c>
      <c r="D66" s="16">
        <v>1035285000000</v>
      </c>
      <c r="E66" s="16">
        <v>12417013000000</v>
      </c>
      <c r="F66" s="66">
        <f t="shared" si="1"/>
        <v>8.3376332133984238E-2</v>
      </c>
    </row>
    <row r="67" spans="1:6" x14ac:dyDescent="0.35">
      <c r="A67" s="2">
        <v>65</v>
      </c>
      <c r="B67" s="3" t="s">
        <v>19</v>
      </c>
      <c r="C67" s="5">
        <v>2019</v>
      </c>
      <c r="D67" s="16">
        <v>1206059000000</v>
      </c>
      <c r="E67" s="16">
        <v>2896950000000</v>
      </c>
      <c r="F67" s="66">
        <f t="shared" ref="F67:F98" si="2">(D67/E67)*$F$2</f>
        <v>0.41632026786793008</v>
      </c>
    </row>
    <row r="68" spans="1:6" x14ac:dyDescent="0.35">
      <c r="A68" s="2">
        <v>66</v>
      </c>
      <c r="B68" s="4"/>
      <c r="C68" s="2">
        <v>2020</v>
      </c>
      <c r="D68" s="16">
        <v>285617000000</v>
      </c>
      <c r="E68" s="16">
        <v>2907425000000</v>
      </c>
      <c r="F68" s="66">
        <f t="shared" si="2"/>
        <v>9.8237099839204797E-2</v>
      </c>
    </row>
    <row r="69" spans="1:6" x14ac:dyDescent="0.35">
      <c r="A69" s="2">
        <v>67</v>
      </c>
      <c r="B69" s="4"/>
      <c r="C69" s="2">
        <v>2021</v>
      </c>
      <c r="D69" s="16">
        <v>665850000000</v>
      </c>
      <c r="E69" s="16">
        <v>2922017000000</v>
      </c>
      <c r="F69" s="66">
        <f t="shared" si="2"/>
        <v>0.22787341757423041</v>
      </c>
    </row>
    <row r="70" spans="1:6" x14ac:dyDescent="0.35">
      <c r="A70" s="2">
        <v>68</v>
      </c>
      <c r="B70" s="4"/>
      <c r="C70" s="2">
        <v>2022</v>
      </c>
      <c r="D70" s="16">
        <v>924906000000</v>
      </c>
      <c r="E70" s="16">
        <v>3374502000000</v>
      </c>
      <c r="F70" s="66">
        <f t="shared" si="2"/>
        <v>0.27408666523238095</v>
      </c>
    </row>
    <row r="71" spans="1:6" x14ac:dyDescent="0.35">
      <c r="A71" s="2">
        <v>69</v>
      </c>
      <c r="B71" s="3" t="s">
        <v>20</v>
      </c>
      <c r="C71" s="5">
        <v>2019</v>
      </c>
      <c r="D71" s="16">
        <v>2051404206764</v>
      </c>
      <c r="E71" s="16">
        <v>19037918806473</v>
      </c>
      <c r="F71" s="66">
        <f t="shared" si="2"/>
        <v>0.10775359573791811</v>
      </c>
    </row>
    <row r="72" spans="1:6" x14ac:dyDescent="0.35">
      <c r="A72" s="2">
        <v>70</v>
      </c>
      <c r="B72" s="4"/>
      <c r="C72" s="2">
        <v>2020</v>
      </c>
      <c r="D72" s="16">
        <v>2098168514645</v>
      </c>
      <c r="E72" s="16">
        <v>19777500514550</v>
      </c>
      <c r="F72" s="66">
        <f t="shared" si="2"/>
        <v>0.10608865933798915</v>
      </c>
    </row>
    <row r="73" spans="1:6" x14ac:dyDescent="0.35">
      <c r="A73" s="2">
        <v>71</v>
      </c>
      <c r="B73" s="4"/>
      <c r="C73" s="2">
        <v>2021</v>
      </c>
      <c r="D73" s="16">
        <v>1211052647953</v>
      </c>
      <c r="E73" s="16">
        <v>19917653265528</v>
      </c>
      <c r="F73" s="66">
        <f t="shared" si="2"/>
        <v>6.0802978734899468E-2</v>
      </c>
    </row>
    <row r="74" spans="1:6" x14ac:dyDescent="0.35">
      <c r="A74" s="2">
        <v>72</v>
      </c>
      <c r="B74" s="4"/>
      <c r="C74" s="2">
        <v>2022</v>
      </c>
      <c r="D74" s="16">
        <v>1970064538149</v>
      </c>
      <c r="E74" s="16">
        <v>22276160695411</v>
      </c>
      <c r="F74" s="66">
        <f t="shared" si="2"/>
        <v>8.8438244142979405E-2</v>
      </c>
    </row>
    <row r="75" spans="1:6" x14ac:dyDescent="0.35">
      <c r="A75" s="2">
        <v>73</v>
      </c>
      <c r="B75" s="3" t="s">
        <v>21</v>
      </c>
      <c r="C75" s="5">
        <v>2019</v>
      </c>
      <c r="D75" s="16">
        <v>236518557420</v>
      </c>
      <c r="E75" s="16">
        <v>4682083844951</v>
      </c>
      <c r="F75" s="66">
        <f t="shared" si="2"/>
        <v>5.0515660388067068E-2</v>
      </c>
    </row>
    <row r="76" spans="1:6" x14ac:dyDescent="0.35">
      <c r="A76" s="2">
        <v>74</v>
      </c>
      <c r="B76" s="4"/>
      <c r="C76" s="2">
        <v>2020</v>
      </c>
      <c r="D76" s="16">
        <v>168610282478</v>
      </c>
      <c r="E76" s="16">
        <v>4452166671985</v>
      </c>
      <c r="F76" s="66">
        <f t="shared" si="2"/>
        <v>3.7871511760548052E-2</v>
      </c>
    </row>
    <row r="77" spans="1:6" x14ac:dyDescent="0.35">
      <c r="A77" s="2">
        <v>75</v>
      </c>
      <c r="B77" s="4"/>
      <c r="C77" s="2">
        <v>2021</v>
      </c>
      <c r="D77" s="16">
        <v>283602993676</v>
      </c>
      <c r="E77" s="16">
        <v>4191284422677</v>
      </c>
      <c r="F77" s="66">
        <f t="shared" si="2"/>
        <v>6.7664936347808374E-2</v>
      </c>
    </row>
    <row r="78" spans="1:6" x14ac:dyDescent="0.35">
      <c r="A78" s="2">
        <v>76</v>
      </c>
      <c r="B78" s="4"/>
      <c r="C78" s="2">
        <v>2022</v>
      </c>
      <c r="D78" s="16">
        <v>432247722254</v>
      </c>
      <c r="E78" s="16">
        <v>4130321616083</v>
      </c>
      <c r="F78" s="66">
        <f t="shared" si="2"/>
        <v>0.10465231583198674</v>
      </c>
    </row>
    <row r="79" spans="1:6" x14ac:dyDescent="0.35">
      <c r="A79" s="2">
        <v>77</v>
      </c>
      <c r="B79" s="3" t="s">
        <v>22</v>
      </c>
      <c r="C79" s="5">
        <v>2019</v>
      </c>
      <c r="D79" s="16">
        <v>957169058</v>
      </c>
      <c r="E79" s="16">
        <v>1820383352811</v>
      </c>
      <c r="F79" s="66">
        <f t="shared" si="2"/>
        <v>5.2580631245718575E-4</v>
      </c>
    </row>
    <row r="80" spans="1:6" x14ac:dyDescent="0.35">
      <c r="A80" s="2">
        <v>78</v>
      </c>
      <c r="B80" s="4"/>
      <c r="C80" s="2">
        <v>2020</v>
      </c>
      <c r="D80" s="16">
        <v>5415741808</v>
      </c>
      <c r="E80" s="16">
        <v>1768660546754</v>
      </c>
      <c r="F80" s="66">
        <f t="shared" si="2"/>
        <v>3.0620583570654309E-3</v>
      </c>
    </row>
    <row r="81" spans="1:6" x14ac:dyDescent="0.35">
      <c r="A81" s="2">
        <v>79</v>
      </c>
      <c r="B81" s="4"/>
      <c r="C81" s="2">
        <v>2021</v>
      </c>
      <c r="D81" s="16">
        <v>29707421605</v>
      </c>
      <c r="E81" s="16">
        <v>1970428120056</v>
      </c>
      <c r="F81" s="66">
        <f t="shared" si="2"/>
        <v>1.5076632992913088E-2</v>
      </c>
    </row>
    <row r="82" spans="1:6" x14ac:dyDescent="0.35">
      <c r="A82" s="2">
        <v>80</v>
      </c>
      <c r="B82" s="4"/>
      <c r="C82" s="2">
        <v>2022</v>
      </c>
      <c r="D82" s="16">
        <v>86635603936</v>
      </c>
      <c r="E82" s="16">
        <v>2042199577083</v>
      </c>
      <c r="F82" s="66">
        <f t="shared" si="2"/>
        <v>4.2422692134598809E-2</v>
      </c>
    </row>
    <row r="83" spans="1:6" x14ac:dyDescent="0.35">
      <c r="A83" s="2">
        <v>81</v>
      </c>
      <c r="B83" s="3" t="s">
        <v>23</v>
      </c>
      <c r="C83" s="5">
        <v>2019</v>
      </c>
      <c r="D83" s="16">
        <v>44943627900</v>
      </c>
      <c r="E83" s="16">
        <v>790845543826</v>
      </c>
      <c r="F83" s="66">
        <f t="shared" si="2"/>
        <v>5.6829842756107626E-2</v>
      </c>
    </row>
    <row r="84" spans="1:6" x14ac:dyDescent="0.35">
      <c r="A84" s="2">
        <v>82</v>
      </c>
      <c r="B84" s="4"/>
      <c r="C84" s="2">
        <v>2020</v>
      </c>
      <c r="D84" s="16">
        <v>42520246722</v>
      </c>
      <c r="E84" s="16">
        <v>773863042440</v>
      </c>
      <c r="F84" s="66">
        <f t="shared" si="2"/>
        <v>5.4945441751466928E-2</v>
      </c>
    </row>
    <row r="85" spans="1:6" x14ac:dyDescent="0.35">
      <c r="A85" s="2">
        <v>83</v>
      </c>
      <c r="B85" s="4"/>
      <c r="C85" s="2">
        <v>2021</v>
      </c>
      <c r="D85" s="16">
        <v>84524160228</v>
      </c>
      <c r="E85" s="16">
        <v>889125250792</v>
      </c>
      <c r="F85" s="66">
        <f t="shared" si="2"/>
        <v>9.5064401953165761E-2</v>
      </c>
    </row>
    <row r="86" spans="1:6" x14ac:dyDescent="0.35">
      <c r="A86" s="2">
        <v>84</v>
      </c>
      <c r="B86" s="4"/>
      <c r="C86" s="2">
        <v>2022</v>
      </c>
      <c r="D86" s="16">
        <v>74865302076</v>
      </c>
      <c r="E86" s="16">
        <v>1033289474829</v>
      </c>
      <c r="F86" s="66">
        <f t="shared" si="2"/>
        <v>7.245336752161298E-2</v>
      </c>
    </row>
    <row r="87" spans="1:6" x14ac:dyDescent="0.35">
      <c r="A87" s="2">
        <v>85</v>
      </c>
      <c r="B87" s="3" t="s">
        <v>24</v>
      </c>
      <c r="C87" s="5">
        <v>2019</v>
      </c>
      <c r="D87" s="16">
        <v>898698000000</v>
      </c>
      <c r="E87" s="16">
        <v>27787527000000</v>
      </c>
      <c r="F87" s="66">
        <f t="shared" si="2"/>
        <v>3.234177694186316E-2</v>
      </c>
    </row>
    <row r="88" spans="1:6" x14ac:dyDescent="0.35">
      <c r="A88" s="2">
        <v>86</v>
      </c>
      <c r="B88" s="4"/>
      <c r="C88" s="2">
        <v>2020</v>
      </c>
      <c r="D88" s="16">
        <v>1539798000000</v>
      </c>
      <c r="E88" s="16">
        <v>35026171000000</v>
      </c>
      <c r="F88" s="66">
        <f t="shared" si="2"/>
        <v>4.396135678090534E-2</v>
      </c>
    </row>
    <row r="89" spans="1:6" x14ac:dyDescent="0.35">
      <c r="A89" s="2">
        <v>87</v>
      </c>
      <c r="B89" s="4"/>
      <c r="C89" s="2">
        <v>2021</v>
      </c>
      <c r="D89" s="16">
        <v>2829418000000</v>
      </c>
      <c r="E89" s="16">
        <v>40345003000000</v>
      </c>
      <c r="F89" s="66">
        <f t="shared" si="2"/>
        <v>7.0130568586151798E-2</v>
      </c>
    </row>
    <row r="90" spans="1:6" x14ac:dyDescent="0.35">
      <c r="A90" s="2">
        <v>88</v>
      </c>
      <c r="B90" s="4"/>
      <c r="C90" s="2">
        <v>2022</v>
      </c>
      <c r="D90" s="16">
        <v>5504956000000</v>
      </c>
      <c r="E90" s="16">
        <v>42600814000000</v>
      </c>
      <c r="F90" s="66">
        <f t="shared" si="2"/>
        <v>0.12922185008014167</v>
      </c>
    </row>
    <row r="91" spans="1:6" x14ac:dyDescent="0.35">
      <c r="A91" s="2">
        <v>89</v>
      </c>
      <c r="B91" s="3" t="s">
        <v>25</v>
      </c>
      <c r="C91" s="5">
        <v>2019</v>
      </c>
      <c r="D91" s="16">
        <v>12081959000</v>
      </c>
      <c r="E91" s="16">
        <v>11845204657000</v>
      </c>
      <c r="F91" s="66">
        <f t="shared" si="2"/>
        <v>1.0199873577414374E-3</v>
      </c>
    </row>
    <row r="92" spans="1:6" x14ac:dyDescent="0.35">
      <c r="A92" s="2">
        <v>90</v>
      </c>
      <c r="B92" s="4"/>
      <c r="C92" s="2">
        <v>2020</v>
      </c>
      <c r="D92" s="16">
        <v>580854940000</v>
      </c>
      <c r="E92" s="16">
        <v>12775930059000</v>
      </c>
      <c r="F92" s="66">
        <f t="shared" si="2"/>
        <v>4.5464787089282546E-2</v>
      </c>
    </row>
    <row r="93" spans="1:6" x14ac:dyDescent="0.35">
      <c r="A93" s="2">
        <v>91</v>
      </c>
      <c r="B93" s="4"/>
      <c r="C93" s="2">
        <v>2021</v>
      </c>
      <c r="D93" s="16">
        <v>1526870874000</v>
      </c>
      <c r="E93" s="16">
        <v>13850610076000</v>
      </c>
      <c r="F93" s="66">
        <f t="shared" si="2"/>
        <v>0.11023852852848155</v>
      </c>
    </row>
    <row r="94" spans="1:6" x14ac:dyDescent="0.35">
      <c r="A94" s="2">
        <v>92</v>
      </c>
      <c r="B94" s="4"/>
      <c r="C94" s="2">
        <v>2022</v>
      </c>
      <c r="D94" s="16">
        <v>1848118978000</v>
      </c>
      <c r="E94" s="16">
        <v>13969704123000</v>
      </c>
      <c r="F94" s="66">
        <f t="shared" si="2"/>
        <v>0.13229478317706242</v>
      </c>
    </row>
    <row r="95" spans="1:6" x14ac:dyDescent="0.35">
      <c r="A95" s="2">
        <v>93</v>
      </c>
      <c r="B95" s="3" t="s">
        <v>26</v>
      </c>
      <c r="C95" s="5">
        <v>2019</v>
      </c>
      <c r="D95" s="16">
        <v>482590522840</v>
      </c>
      <c r="E95" s="16">
        <v>2881563083954</v>
      </c>
      <c r="F95" s="66">
        <f t="shared" si="2"/>
        <v>0.16747525866336505</v>
      </c>
    </row>
    <row r="96" spans="1:6" x14ac:dyDescent="0.35">
      <c r="A96" s="2">
        <v>94</v>
      </c>
      <c r="B96" s="4"/>
      <c r="C96" s="2">
        <v>2020</v>
      </c>
      <c r="D96" s="16">
        <v>628628879549</v>
      </c>
      <c r="E96" s="16">
        <v>3448995059882</v>
      </c>
      <c r="F96" s="66">
        <f t="shared" si="2"/>
        <v>0.18226436067162916</v>
      </c>
    </row>
    <row r="97" spans="1:6" x14ac:dyDescent="0.35">
      <c r="A97" s="2">
        <v>95</v>
      </c>
      <c r="B97" s="4"/>
      <c r="C97" s="2">
        <v>2021</v>
      </c>
      <c r="D97" s="16">
        <v>617573766863</v>
      </c>
      <c r="E97" s="16">
        <v>3919243683748</v>
      </c>
      <c r="F97" s="66">
        <f t="shared" si="2"/>
        <v>0.15757473040625275</v>
      </c>
    </row>
    <row r="98" spans="1:6" x14ac:dyDescent="0.35">
      <c r="A98" s="2">
        <v>96</v>
      </c>
      <c r="B98" s="4"/>
      <c r="C98" s="2">
        <v>2022</v>
      </c>
      <c r="D98" s="16">
        <v>624524005786</v>
      </c>
      <c r="E98" s="16">
        <v>4590737849889</v>
      </c>
      <c r="F98" s="66">
        <f t="shared" si="2"/>
        <v>0.13604000624890844</v>
      </c>
    </row>
    <row r="99" spans="1:6" x14ac:dyDescent="0.35">
      <c r="A99" s="2">
        <v>97</v>
      </c>
      <c r="B99" s="3" t="s">
        <v>27</v>
      </c>
      <c r="C99" s="5">
        <v>2019</v>
      </c>
      <c r="D99" s="16">
        <v>661034000000</v>
      </c>
      <c r="E99" s="16">
        <v>17363003000000</v>
      </c>
      <c r="F99" s="66">
        <f t="shared" ref="F99:F130" si="3">(D99/E99)*$F$2</f>
        <v>3.8071409651890285E-2</v>
      </c>
    </row>
    <row r="100" spans="1:6" x14ac:dyDescent="0.35">
      <c r="A100" s="2">
        <v>98</v>
      </c>
      <c r="B100" s="4"/>
      <c r="C100" s="2">
        <v>2020</v>
      </c>
      <c r="D100" s="16">
        <v>680730000000</v>
      </c>
      <c r="E100" s="16">
        <v>19431293000000</v>
      </c>
      <c r="F100" s="66">
        <f t="shared" si="3"/>
        <v>3.5032666122630132E-2</v>
      </c>
    </row>
    <row r="101" spans="1:6" x14ac:dyDescent="0.35">
      <c r="A101" s="2">
        <v>99</v>
      </c>
      <c r="B101" s="4"/>
      <c r="C101" s="2">
        <v>2021</v>
      </c>
      <c r="D101" s="16">
        <v>791916000000</v>
      </c>
      <c r="E101" s="16">
        <v>21084017000000</v>
      </c>
      <c r="F101" s="66">
        <f t="shared" si="3"/>
        <v>3.7560015247568808E-2</v>
      </c>
    </row>
    <row r="102" spans="1:6" x14ac:dyDescent="0.35">
      <c r="A102" s="2">
        <v>100</v>
      </c>
      <c r="B102" s="4"/>
      <c r="C102" s="2">
        <v>2022</v>
      </c>
      <c r="D102" s="16">
        <v>801440000000</v>
      </c>
      <c r="E102" s="16">
        <v>23673644000000</v>
      </c>
      <c r="F102" s="66">
        <f t="shared" si="3"/>
        <v>3.3853681334398707E-2</v>
      </c>
    </row>
    <row r="103" spans="1:6" x14ac:dyDescent="0.35">
      <c r="A103" s="2">
        <v>101</v>
      </c>
      <c r="B103" s="3" t="s">
        <v>28</v>
      </c>
      <c r="C103" s="5">
        <v>2019</v>
      </c>
      <c r="D103" s="16">
        <v>428418484105</v>
      </c>
      <c r="E103" s="16">
        <v>2995872438975</v>
      </c>
      <c r="F103" s="66">
        <f t="shared" si="3"/>
        <v>0.14300291245096469</v>
      </c>
    </row>
    <row r="104" spans="1:6" x14ac:dyDescent="0.35">
      <c r="A104" s="2">
        <v>102</v>
      </c>
      <c r="B104" s="4"/>
      <c r="C104" s="2">
        <v>2020</v>
      </c>
      <c r="D104" s="16">
        <v>478561152411</v>
      </c>
      <c r="E104" s="16">
        <v>3361956197960</v>
      </c>
      <c r="F104" s="66">
        <f t="shared" si="3"/>
        <v>0.1423460402908836</v>
      </c>
    </row>
    <row r="105" spans="1:6" x14ac:dyDescent="0.35">
      <c r="A105" s="2">
        <v>103</v>
      </c>
      <c r="B105" s="4"/>
      <c r="C105" s="2">
        <v>2021</v>
      </c>
      <c r="D105" s="16">
        <v>481109483989</v>
      </c>
      <c r="E105" s="16">
        <v>3403961007490</v>
      </c>
      <c r="F105" s="66">
        <f t="shared" si="3"/>
        <v>0.14133813017551536</v>
      </c>
    </row>
    <row r="106" spans="1:6" x14ac:dyDescent="0.35">
      <c r="A106" s="2">
        <v>104</v>
      </c>
      <c r="B106" s="4"/>
      <c r="C106" s="2">
        <v>2022</v>
      </c>
      <c r="D106" s="16">
        <v>478266312889</v>
      </c>
      <c r="E106" s="16">
        <v>4181760862637</v>
      </c>
      <c r="F106" s="66">
        <f t="shared" si="3"/>
        <v>0.1143695989797483</v>
      </c>
    </row>
    <row r="107" spans="1:6" x14ac:dyDescent="0.35">
      <c r="A107" s="2">
        <v>105</v>
      </c>
      <c r="B107" s="3" t="s">
        <v>29</v>
      </c>
      <c r="C107" s="5">
        <v>2019</v>
      </c>
      <c r="D107" s="16">
        <v>1035865000000</v>
      </c>
      <c r="E107" s="16">
        <v>6608422000000</v>
      </c>
      <c r="F107" s="66">
        <f t="shared" si="3"/>
        <v>0.15674922091839777</v>
      </c>
    </row>
    <row r="108" spans="1:6" x14ac:dyDescent="0.35">
      <c r="A108" s="2">
        <v>106</v>
      </c>
      <c r="B108" s="4"/>
      <c r="C108" s="2">
        <v>2020</v>
      </c>
      <c r="D108" s="16">
        <v>1109666000000</v>
      </c>
      <c r="E108" s="16">
        <v>8754116000000</v>
      </c>
      <c r="F108" s="66">
        <f t="shared" si="3"/>
        <v>0.12675934383323229</v>
      </c>
    </row>
    <row r="109" spans="1:6" x14ac:dyDescent="0.35">
      <c r="A109" s="2">
        <v>107</v>
      </c>
      <c r="B109" s="4"/>
      <c r="C109" s="2">
        <v>2021</v>
      </c>
      <c r="D109" s="16">
        <v>1276793000000</v>
      </c>
      <c r="E109" s="16">
        <v>7406856000000</v>
      </c>
      <c r="F109" s="66">
        <f t="shared" si="3"/>
        <v>0.1723798869587852</v>
      </c>
    </row>
    <row r="110" spans="1:6" x14ac:dyDescent="0.35">
      <c r="A110" s="2">
        <v>108</v>
      </c>
      <c r="B110" s="4"/>
      <c r="C110" s="2">
        <v>2022</v>
      </c>
      <c r="D110" s="16">
        <v>965486000000</v>
      </c>
      <c r="E110" s="16">
        <v>7376375000000</v>
      </c>
      <c r="F110" s="66">
        <f t="shared" si="3"/>
        <v>0.13088895290708513</v>
      </c>
    </row>
    <row r="111" spans="1:6" x14ac:dyDescent="0.35">
      <c r="A111" s="56">
        <v>109</v>
      </c>
      <c r="B111" s="57" t="s">
        <v>65</v>
      </c>
      <c r="C111" s="58">
        <v>2019</v>
      </c>
      <c r="D111" s="33">
        <v>10880704000000</v>
      </c>
      <c r="E111" s="33">
        <v>78647274000000</v>
      </c>
      <c r="F111" s="66">
        <f t="shared" si="3"/>
        <v>0.13834813905946697</v>
      </c>
    </row>
    <row r="112" spans="1:6" x14ac:dyDescent="0.35">
      <c r="A112" s="2">
        <v>110</v>
      </c>
      <c r="B112" s="3"/>
      <c r="C112" s="2">
        <v>2020</v>
      </c>
      <c r="D112" s="16">
        <v>7647729000000</v>
      </c>
      <c r="E112" s="16">
        <v>78191409000000</v>
      </c>
      <c r="F112" s="66">
        <f t="shared" si="3"/>
        <v>9.7807791134701255E-2</v>
      </c>
    </row>
    <row r="113" spans="1:6" x14ac:dyDescent="0.35">
      <c r="A113" s="2">
        <v>111</v>
      </c>
      <c r="B113" s="3"/>
      <c r="C113" s="2">
        <v>2021</v>
      </c>
      <c r="D113" s="16">
        <v>5605321000000</v>
      </c>
      <c r="E113" s="16">
        <v>89964369000000</v>
      </c>
      <c r="F113" s="66">
        <f t="shared" si="3"/>
        <v>6.2306011394355466E-2</v>
      </c>
    </row>
    <row r="114" spans="1:6" x14ac:dyDescent="0.35">
      <c r="A114" s="2">
        <v>112</v>
      </c>
      <c r="B114" s="3"/>
      <c r="C114" s="2">
        <v>2022</v>
      </c>
      <c r="D114" s="16">
        <v>2779742000000</v>
      </c>
      <c r="E114" s="16">
        <v>88562617000000</v>
      </c>
      <c r="F114" s="66">
        <f t="shared" si="3"/>
        <v>3.138730645233756E-2</v>
      </c>
    </row>
    <row r="115" spans="1:6" x14ac:dyDescent="0.35">
      <c r="A115" s="2">
        <v>113</v>
      </c>
      <c r="B115" s="3" t="s">
        <v>66</v>
      </c>
      <c r="C115" s="5">
        <v>2019</v>
      </c>
      <c r="D115" s="16">
        <v>27328091481</v>
      </c>
      <c r="E115" s="16">
        <v>1299521608556</v>
      </c>
      <c r="F115" s="66">
        <f t="shared" si="3"/>
        <v>2.1029347493010431E-2</v>
      </c>
    </row>
    <row r="116" spans="1:6" x14ac:dyDescent="0.35">
      <c r="A116" s="2">
        <v>114</v>
      </c>
      <c r="B116" s="3"/>
      <c r="C116" s="2">
        <v>2020</v>
      </c>
      <c r="D116" s="16">
        <v>172506562986</v>
      </c>
      <c r="E116" s="16">
        <v>1614442007528</v>
      </c>
      <c r="F116" s="66">
        <f t="shared" si="3"/>
        <v>0.10685212734902659</v>
      </c>
    </row>
    <row r="117" spans="1:6" x14ac:dyDescent="0.35">
      <c r="A117" s="2">
        <v>115</v>
      </c>
      <c r="B117" s="3"/>
      <c r="C117" s="2">
        <v>2021</v>
      </c>
      <c r="D117" s="16">
        <v>176877010231</v>
      </c>
      <c r="E117" s="16">
        <v>1891169731202</v>
      </c>
      <c r="F117" s="66">
        <f t="shared" si="3"/>
        <v>9.3527834817121111E-2</v>
      </c>
    </row>
    <row r="118" spans="1:6" x14ac:dyDescent="0.35">
      <c r="A118" s="2">
        <v>116</v>
      </c>
      <c r="B118" s="3"/>
      <c r="C118" s="2">
        <v>2022</v>
      </c>
      <c r="D118" s="16">
        <v>249644129079</v>
      </c>
      <c r="E118" s="16">
        <v>2168793843296</v>
      </c>
      <c r="F118" s="66">
        <f t="shared" si="3"/>
        <v>0.11510735787575187</v>
      </c>
    </row>
    <row r="119" spans="1:6" x14ac:dyDescent="0.35">
      <c r="A119" s="2">
        <v>117</v>
      </c>
      <c r="B119" s="3" t="s">
        <v>67</v>
      </c>
      <c r="C119" s="5">
        <v>2019</v>
      </c>
      <c r="D119" s="16">
        <v>13721513000000</v>
      </c>
      <c r="E119" s="16">
        <v>50902806000000</v>
      </c>
      <c r="F119" s="66">
        <f t="shared" si="3"/>
        <v>0.26956299815770468</v>
      </c>
    </row>
    <row r="120" spans="1:6" x14ac:dyDescent="0.35">
      <c r="A120" s="2">
        <v>118</v>
      </c>
      <c r="B120" s="3"/>
      <c r="C120" s="2">
        <v>2020</v>
      </c>
      <c r="D120" s="16">
        <v>8581378000000</v>
      </c>
      <c r="E120" s="16">
        <v>49674030000000</v>
      </c>
      <c r="F120" s="66">
        <f t="shared" si="3"/>
        <v>0.17275381119671587</v>
      </c>
    </row>
    <row r="121" spans="1:6" x14ac:dyDescent="0.35">
      <c r="A121" s="2">
        <v>119</v>
      </c>
      <c r="B121" s="3"/>
      <c r="C121" s="2">
        <v>2021</v>
      </c>
      <c r="D121" s="16">
        <v>7137097000000</v>
      </c>
      <c r="E121" s="16">
        <v>53090428000000</v>
      </c>
      <c r="F121" s="66">
        <f t="shared" si="3"/>
        <v>0.13443283975785617</v>
      </c>
    </row>
    <row r="122" spans="1:6" x14ac:dyDescent="0.35">
      <c r="A122" s="2">
        <v>120</v>
      </c>
      <c r="B122" s="3"/>
      <c r="C122" s="2">
        <v>2022</v>
      </c>
      <c r="D122" s="16">
        <v>6323744000000</v>
      </c>
      <c r="E122" s="16">
        <v>54786992000000</v>
      </c>
      <c r="F122" s="66">
        <f t="shared" si="3"/>
        <v>0.11542418682157253</v>
      </c>
    </row>
    <row r="123" spans="1:6" x14ac:dyDescent="0.35">
      <c r="A123" s="2">
        <v>121</v>
      </c>
      <c r="B123" s="3" t="s">
        <v>68</v>
      </c>
      <c r="C123" s="5">
        <v>2019</v>
      </c>
      <c r="D123" s="16">
        <v>7392837000000</v>
      </c>
      <c r="E123" s="16">
        <v>20649371000000</v>
      </c>
      <c r="F123" s="66">
        <f t="shared" si="3"/>
        <v>0.35801753961416066</v>
      </c>
    </row>
    <row r="124" spans="1:6" x14ac:dyDescent="0.35">
      <c r="A124" s="2">
        <v>122</v>
      </c>
      <c r="B124" s="3"/>
      <c r="C124" s="2">
        <v>2020</v>
      </c>
      <c r="D124" s="16">
        <v>7163536000000</v>
      </c>
      <c r="E124" s="16">
        <v>20534632000000</v>
      </c>
      <c r="F124" s="66">
        <f t="shared" si="3"/>
        <v>0.34885144277238567</v>
      </c>
    </row>
    <row r="125" spans="1:6" x14ac:dyDescent="0.35">
      <c r="A125" s="2">
        <v>123</v>
      </c>
      <c r="B125" s="3"/>
      <c r="C125" s="2">
        <v>2021</v>
      </c>
      <c r="D125" s="16">
        <v>5758148000000</v>
      </c>
      <c r="E125" s="16">
        <v>19068532000000</v>
      </c>
      <c r="F125" s="66">
        <f t="shared" si="3"/>
        <v>0.30197122673103521</v>
      </c>
    </row>
    <row r="126" spans="1:6" x14ac:dyDescent="0.35">
      <c r="A126" s="2">
        <v>124</v>
      </c>
      <c r="B126" s="3"/>
      <c r="C126" s="2">
        <v>2022</v>
      </c>
      <c r="D126" s="16">
        <v>5364761000000</v>
      </c>
      <c r="E126" s="16">
        <v>18318114000000</v>
      </c>
      <c r="F126" s="66">
        <f t="shared" si="3"/>
        <v>0.29286644902417358</v>
      </c>
    </row>
    <row r="127" spans="1:6" x14ac:dyDescent="0.35">
      <c r="A127" s="2">
        <v>125</v>
      </c>
      <c r="B127" s="4" t="s">
        <v>69</v>
      </c>
      <c r="C127" s="5">
        <v>2019</v>
      </c>
      <c r="D127" s="16">
        <v>32133014664</v>
      </c>
      <c r="E127" s="16">
        <v>962025149261</v>
      </c>
      <c r="F127" s="66">
        <f t="shared" si="3"/>
        <v>3.3401428942563149E-2</v>
      </c>
    </row>
    <row r="128" spans="1:6" x14ac:dyDescent="0.35">
      <c r="A128" s="2">
        <v>126</v>
      </c>
      <c r="B128" s="4"/>
      <c r="C128" s="2">
        <v>2020</v>
      </c>
      <c r="D128" s="16">
        <v>1599783419</v>
      </c>
      <c r="E128" s="16">
        <v>972015359252</v>
      </c>
      <c r="F128" s="66">
        <f t="shared" si="3"/>
        <v>1.6458417079243373E-3</v>
      </c>
    </row>
    <row r="129" spans="1:6" x14ac:dyDescent="0.35">
      <c r="A129" s="2">
        <v>127</v>
      </c>
      <c r="B129" s="4"/>
      <c r="C129" s="2">
        <v>2021</v>
      </c>
      <c r="D129" s="16">
        <v>13140035584</v>
      </c>
      <c r="E129" s="16">
        <v>1066798461757</v>
      </c>
      <c r="F129" s="66">
        <f t="shared" si="3"/>
        <v>1.2317261465074267E-2</v>
      </c>
    </row>
    <row r="130" spans="1:6" x14ac:dyDescent="0.35">
      <c r="A130" s="2">
        <v>128</v>
      </c>
      <c r="B130" s="4"/>
      <c r="C130" s="2">
        <v>2022</v>
      </c>
      <c r="D130" s="16">
        <v>698083223</v>
      </c>
      <c r="E130" s="16">
        <v>1094655889281</v>
      </c>
      <c r="F130" s="66">
        <f t="shared" si="3"/>
        <v>6.3771933247307535E-4</v>
      </c>
    </row>
    <row r="131" spans="1:6" x14ac:dyDescent="0.35">
      <c r="A131" s="2">
        <v>129</v>
      </c>
      <c r="B131" s="4" t="s">
        <v>70</v>
      </c>
      <c r="C131" s="5">
        <v>2019</v>
      </c>
      <c r="D131" s="16">
        <v>218064313042</v>
      </c>
      <c r="E131" s="16">
        <v>5515384761490</v>
      </c>
      <c r="F131" s="66">
        <f t="shared" ref="F131:F162" si="4">(D131/E131)*$F$2</f>
        <v>3.9537461568336561E-2</v>
      </c>
    </row>
    <row r="132" spans="1:6" x14ac:dyDescent="0.35">
      <c r="A132" s="2">
        <v>130</v>
      </c>
      <c r="B132" s="4"/>
      <c r="C132" s="2">
        <v>2020</v>
      </c>
      <c r="D132" s="16">
        <v>314373402229</v>
      </c>
      <c r="E132" s="16">
        <v>5949006786510</v>
      </c>
      <c r="F132" s="66">
        <f t="shared" si="4"/>
        <v>5.2844687106741048E-2</v>
      </c>
    </row>
    <row r="133" spans="1:6" x14ac:dyDescent="0.35">
      <c r="A133" s="2">
        <v>131</v>
      </c>
      <c r="B133" s="4"/>
      <c r="C133" s="2">
        <v>2021</v>
      </c>
      <c r="D133" s="16">
        <v>535295612635</v>
      </c>
      <c r="E133" s="16">
        <v>6801034778630</v>
      </c>
      <c r="F133" s="66">
        <f t="shared" si="4"/>
        <v>7.8707965781470379E-2</v>
      </c>
    </row>
    <row r="134" spans="1:6" x14ac:dyDescent="0.35">
      <c r="A134" s="2">
        <v>132</v>
      </c>
      <c r="B134" s="4"/>
      <c r="C134" s="2">
        <v>2022</v>
      </c>
      <c r="D134" s="16">
        <v>177124125126</v>
      </c>
      <c r="E134" s="16">
        <v>6956345266754</v>
      </c>
      <c r="F134" s="66">
        <f t="shared" si="4"/>
        <v>2.5462238910497672E-2</v>
      </c>
    </row>
    <row r="135" spans="1:6" x14ac:dyDescent="0.35">
      <c r="A135" s="2">
        <v>133</v>
      </c>
      <c r="B135" s="4" t="s">
        <v>71</v>
      </c>
      <c r="C135" s="5">
        <v>2019</v>
      </c>
      <c r="D135" s="16">
        <v>221783249000</v>
      </c>
      <c r="E135" s="16">
        <v>1829960714000</v>
      </c>
      <c r="F135" s="66">
        <f t="shared" si="4"/>
        <v>0.12119563403916878</v>
      </c>
    </row>
    <row r="136" spans="1:6" x14ac:dyDescent="0.35">
      <c r="A136" s="2">
        <v>134</v>
      </c>
      <c r="B136" s="4"/>
      <c r="C136" s="2">
        <v>2020</v>
      </c>
      <c r="D136" s="16">
        <v>162072984000</v>
      </c>
      <c r="E136" s="16">
        <v>1986711872000</v>
      </c>
      <c r="F136" s="66">
        <f t="shared" si="4"/>
        <v>8.1578504806961757E-2</v>
      </c>
    </row>
    <row r="137" spans="1:6" x14ac:dyDescent="0.35">
      <c r="A137" s="2">
        <v>135</v>
      </c>
      <c r="B137" s="4"/>
      <c r="C137" s="2">
        <v>2021</v>
      </c>
      <c r="D137" s="16">
        <v>146505337000</v>
      </c>
      <c r="E137" s="16">
        <v>2082911322000</v>
      </c>
      <c r="F137" s="66">
        <f t="shared" si="4"/>
        <v>7.0336809566778097E-2</v>
      </c>
    </row>
    <row r="138" spans="1:6" x14ac:dyDescent="0.35">
      <c r="A138" s="2">
        <v>136</v>
      </c>
      <c r="B138" s="4"/>
      <c r="C138" s="2">
        <v>2022</v>
      </c>
      <c r="D138" s="16">
        <v>149375011000</v>
      </c>
      <c r="E138" s="16">
        <v>2009139485000</v>
      </c>
      <c r="F138" s="66">
        <f t="shared" si="4"/>
        <v>7.4347755402358245E-2</v>
      </c>
    </row>
    <row r="139" spans="1:6" x14ac:dyDescent="0.35">
      <c r="A139" s="2">
        <v>137</v>
      </c>
      <c r="B139" s="4" t="s">
        <v>72</v>
      </c>
      <c r="C139" s="5">
        <v>2019</v>
      </c>
      <c r="D139" s="16">
        <v>2537601823645</v>
      </c>
      <c r="E139" s="16">
        <v>20264726862584</v>
      </c>
      <c r="F139" s="66">
        <f t="shared" si="4"/>
        <v>0.12522260185654557</v>
      </c>
    </row>
    <row r="140" spans="1:6" x14ac:dyDescent="0.35">
      <c r="A140" s="2">
        <v>138</v>
      </c>
      <c r="B140" s="4"/>
      <c r="C140" s="2">
        <v>2020</v>
      </c>
      <c r="D140" s="16">
        <v>2799622515814</v>
      </c>
      <c r="E140" s="16">
        <v>22564300317374</v>
      </c>
      <c r="F140" s="66">
        <f t="shared" si="4"/>
        <v>0.12407309229342042</v>
      </c>
    </row>
    <row r="141" spans="1:6" x14ac:dyDescent="0.35">
      <c r="A141" s="2">
        <v>139</v>
      </c>
      <c r="B141" s="4"/>
      <c r="C141" s="2">
        <v>2021</v>
      </c>
      <c r="D141" s="16">
        <v>3232007683281</v>
      </c>
      <c r="E141" s="16">
        <v>25666635156271</v>
      </c>
      <c r="F141" s="66">
        <f t="shared" si="4"/>
        <v>0.1259225318629793</v>
      </c>
    </row>
    <row r="142" spans="1:6" x14ac:dyDescent="0.35">
      <c r="A142" s="2">
        <v>140</v>
      </c>
      <c r="B142" s="4"/>
      <c r="C142" s="2">
        <v>2022</v>
      </c>
      <c r="D142" s="16">
        <v>3450083412291</v>
      </c>
      <c r="E142" s="16">
        <v>27241313025674</v>
      </c>
      <c r="F142" s="66">
        <f t="shared" si="4"/>
        <v>0.12664893975703062</v>
      </c>
    </row>
    <row r="143" spans="1:6" x14ac:dyDescent="0.35">
      <c r="A143" s="2">
        <v>141</v>
      </c>
      <c r="B143" s="4" t="s">
        <v>73</v>
      </c>
      <c r="C143" s="5">
        <v>2019</v>
      </c>
      <c r="D143" s="16">
        <v>78256797000</v>
      </c>
      <c r="E143" s="16">
        <v>901060986000</v>
      </c>
      <c r="F143" s="66">
        <f t="shared" si="4"/>
        <v>8.684961197509887E-2</v>
      </c>
    </row>
    <row r="144" spans="1:6" x14ac:dyDescent="0.35">
      <c r="A144" s="2">
        <v>142</v>
      </c>
      <c r="B144" s="4"/>
      <c r="C144" s="2">
        <v>2020</v>
      </c>
      <c r="D144" s="16">
        <v>71902263000</v>
      </c>
      <c r="E144" s="16">
        <v>929901046000</v>
      </c>
      <c r="F144" s="66">
        <f t="shared" si="4"/>
        <v>7.7322488569391279E-2</v>
      </c>
    </row>
    <row r="145" spans="1:6" x14ac:dyDescent="0.35">
      <c r="A145" s="2">
        <v>143</v>
      </c>
      <c r="B145" s="4"/>
      <c r="C145" s="2">
        <v>2021</v>
      </c>
      <c r="D145" s="16">
        <v>131660834000</v>
      </c>
      <c r="E145" s="16">
        <v>1026266866000</v>
      </c>
      <c r="F145" s="66">
        <f t="shared" si="4"/>
        <v>0.12829103068791856</v>
      </c>
    </row>
    <row r="146" spans="1:6" x14ac:dyDescent="0.35">
      <c r="A146" s="2">
        <v>144</v>
      </c>
      <c r="B146" s="4"/>
      <c r="C146" s="2">
        <v>2022</v>
      </c>
      <c r="D146" s="16">
        <v>179837759000</v>
      </c>
      <c r="E146" s="16">
        <v>1037647240000</v>
      </c>
      <c r="F146" s="66">
        <f t="shared" si="4"/>
        <v>0.17331300278888614</v>
      </c>
    </row>
    <row r="147" spans="1:6" x14ac:dyDescent="0.35">
      <c r="A147" s="2">
        <v>145</v>
      </c>
      <c r="B147" s="4" t="s">
        <v>74</v>
      </c>
      <c r="C147" s="5">
        <v>2019</v>
      </c>
      <c r="D147" s="16">
        <v>102310124000</v>
      </c>
      <c r="E147" s="16">
        <v>2096719180000</v>
      </c>
      <c r="F147" s="66">
        <f t="shared" si="4"/>
        <v>4.8795339393041655E-2</v>
      </c>
    </row>
    <row r="148" spans="1:6" x14ac:dyDescent="0.35">
      <c r="A148" s="2">
        <v>146</v>
      </c>
      <c r="B148" s="4"/>
      <c r="C148" s="2">
        <v>2020</v>
      </c>
      <c r="D148" s="16">
        <v>48665149000</v>
      </c>
      <c r="E148" s="16">
        <v>1915989375000</v>
      </c>
      <c r="F148" s="66">
        <f t="shared" si="4"/>
        <v>2.5399487927744904E-2</v>
      </c>
    </row>
    <row r="149" spans="1:6" x14ac:dyDescent="0.35">
      <c r="A149" s="2">
        <v>147</v>
      </c>
      <c r="B149" s="4"/>
      <c r="C149" s="2">
        <v>2021</v>
      </c>
      <c r="D149" s="16">
        <v>11296951000</v>
      </c>
      <c r="E149" s="16">
        <v>1838539299000</v>
      </c>
      <c r="F149" s="66">
        <f t="shared" si="4"/>
        <v>6.144525170685514E-3</v>
      </c>
    </row>
    <row r="150" spans="1:6" x14ac:dyDescent="0.35">
      <c r="A150" s="2">
        <v>148</v>
      </c>
      <c r="B150" s="4"/>
      <c r="C150" s="2">
        <v>2022</v>
      </c>
      <c r="D150" s="16">
        <v>27395254000</v>
      </c>
      <c r="E150" s="16">
        <v>1806280965000</v>
      </c>
      <c r="F150" s="66">
        <f t="shared" si="4"/>
        <v>1.51666626238294E-2</v>
      </c>
    </row>
    <row r="151" spans="1:6" x14ac:dyDescent="0.35">
      <c r="A151" s="2">
        <v>149</v>
      </c>
      <c r="B151" s="4" t="s">
        <v>75</v>
      </c>
      <c r="C151" s="5">
        <v>2019</v>
      </c>
      <c r="D151" s="16">
        <v>9342718039</v>
      </c>
      <c r="E151" s="16">
        <v>190786208250</v>
      </c>
      <c r="F151" s="66">
        <f t="shared" si="4"/>
        <v>4.896956716471669E-2</v>
      </c>
    </row>
    <row r="152" spans="1:6" x14ac:dyDescent="0.35">
      <c r="A152" s="2">
        <v>150</v>
      </c>
      <c r="B152" s="4"/>
      <c r="C152" s="2">
        <v>2020</v>
      </c>
      <c r="D152" s="16">
        <v>22104364267</v>
      </c>
      <c r="E152" s="16">
        <v>228575380866</v>
      </c>
      <c r="F152" s="66">
        <f t="shared" si="4"/>
        <v>9.6704921515403525E-2</v>
      </c>
    </row>
    <row r="153" spans="1:6" x14ac:dyDescent="0.35">
      <c r="A153" s="2">
        <v>151</v>
      </c>
      <c r="B153" s="4"/>
      <c r="C153" s="2">
        <v>2021</v>
      </c>
      <c r="D153" s="16">
        <v>5478952440</v>
      </c>
      <c r="E153" s="16">
        <v>806221575272</v>
      </c>
      <c r="F153" s="66">
        <f t="shared" si="4"/>
        <v>6.7958395161423603E-3</v>
      </c>
    </row>
    <row r="154" spans="1:6" x14ac:dyDescent="0.35">
      <c r="A154" s="2">
        <v>152</v>
      </c>
      <c r="B154" s="4"/>
      <c r="C154" s="2">
        <v>2022</v>
      </c>
      <c r="D154" s="16">
        <v>275472011358</v>
      </c>
      <c r="E154" s="16">
        <v>1520568653644</v>
      </c>
      <c r="F154" s="66">
        <f t="shared" si="4"/>
        <v>0.18116381045856697</v>
      </c>
    </row>
    <row r="155" spans="1:6" x14ac:dyDescent="0.35">
      <c r="A155" s="2">
        <v>153</v>
      </c>
      <c r="B155" s="4" t="s">
        <v>76</v>
      </c>
      <c r="C155" s="5">
        <v>2019</v>
      </c>
      <c r="D155" s="16">
        <v>807689000000</v>
      </c>
      <c r="E155" s="16">
        <v>3536898000000</v>
      </c>
      <c r="F155" s="66">
        <f t="shared" si="4"/>
        <v>0.22836084048790778</v>
      </c>
    </row>
    <row r="156" spans="1:6" x14ac:dyDescent="0.35">
      <c r="A156" s="2">
        <v>154</v>
      </c>
      <c r="B156" s="4"/>
      <c r="C156" s="2">
        <v>2020</v>
      </c>
      <c r="D156" s="16">
        <v>934016000000</v>
      </c>
      <c r="E156" s="16">
        <v>3849516000000</v>
      </c>
      <c r="F156" s="66">
        <f t="shared" si="4"/>
        <v>0.242632060757768</v>
      </c>
    </row>
    <row r="157" spans="1:6" x14ac:dyDescent="0.35">
      <c r="A157" s="2">
        <v>155</v>
      </c>
      <c r="B157" s="4"/>
      <c r="C157" s="2">
        <v>2021</v>
      </c>
      <c r="D157" s="16">
        <v>1260898000000</v>
      </c>
      <c r="E157" s="16">
        <v>4068970000000</v>
      </c>
      <c r="F157" s="66">
        <f t="shared" si="4"/>
        <v>0.30988137046967662</v>
      </c>
    </row>
    <row r="158" spans="1:6" x14ac:dyDescent="0.35">
      <c r="A158" s="2">
        <v>156</v>
      </c>
      <c r="B158" s="4"/>
      <c r="C158" s="2">
        <v>2022</v>
      </c>
      <c r="D158" s="16">
        <v>1104714000000</v>
      </c>
      <c r="E158" s="16">
        <v>4081442000000</v>
      </c>
      <c r="F158" s="66">
        <f t="shared" si="4"/>
        <v>0.27066757288232934</v>
      </c>
    </row>
    <row r="159" spans="1:6" x14ac:dyDescent="0.35">
      <c r="A159" s="2">
        <v>157</v>
      </c>
      <c r="B159" s="4" t="s">
        <v>77</v>
      </c>
      <c r="C159" s="5">
        <v>2019</v>
      </c>
      <c r="D159" s="16">
        <v>595154912874</v>
      </c>
      <c r="E159" s="16">
        <v>8372769580743</v>
      </c>
      <c r="F159" s="66">
        <f t="shared" si="4"/>
        <v>7.1082203700294111E-2</v>
      </c>
    </row>
    <row r="160" spans="1:6" x14ac:dyDescent="0.35">
      <c r="A160" s="2">
        <v>158</v>
      </c>
      <c r="B160" s="4"/>
      <c r="C160" s="2">
        <v>2020</v>
      </c>
      <c r="D160" s="16">
        <v>834369751682</v>
      </c>
      <c r="E160" s="16">
        <v>9104657533366</v>
      </c>
      <c r="F160" s="66">
        <f t="shared" si="4"/>
        <v>9.1642079740426305E-2</v>
      </c>
    </row>
    <row r="161" spans="1:6" x14ac:dyDescent="0.35">
      <c r="A161" s="2">
        <v>159</v>
      </c>
      <c r="B161" s="4"/>
      <c r="C161" s="2">
        <v>2021</v>
      </c>
      <c r="D161" s="16">
        <v>877817637643</v>
      </c>
      <c r="E161" s="16">
        <v>9644326662784</v>
      </c>
      <c r="F161" s="66">
        <f t="shared" si="4"/>
        <v>9.1019069379966747E-2</v>
      </c>
    </row>
    <row r="162" spans="1:6" x14ac:dyDescent="0.35">
      <c r="A162" s="2">
        <v>160</v>
      </c>
      <c r="B162" s="4"/>
      <c r="C162" s="2">
        <v>2022</v>
      </c>
      <c r="D162" s="16">
        <v>1037527882044</v>
      </c>
      <c r="E162" s="16">
        <v>11328974079150</v>
      </c>
      <c r="F162" s="66">
        <f t="shared" si="4"/>
        <v>9.1581803859316843E-2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991FA-C3EA-452E-A5DA-6A643DFC18F1}">
  <dimension ref="A1:G162"/>
  <sheetViews>
    <sheetView zoomScale="90" zoomScaleNormal="80" workbookViewId="0">
      <pane ySplit="780" topLeftCell="A4" activePane="bottomLeft"/>
      <selection sqref="A1:I1048576"/>
      <selection pane="bottomLeft" activeCell="A4" sqref="A4"/>
    </sheetView>
  </sheetViews>
  <sheetFormatPr defaultRowHeight="14.5" x14ac:dyDescent="0.35"/>
  <cols>
    <col min="4" max="5" width="20.36328125" customWidth="1"/>
    <col min="6" max="6" width="7.6328125" customWidth="1"/>
    <col min="7" max="7" width="20.36328125" customWidth="1"/>
  </cols>
  <sheetData>
    <row r="1" spans="1:7" x14ac:dyDescent="0.35">
      <c r="A1" s="93" t="s">
        <v>2</v>
      </c>
      <c r="B1" s="93" t="s">
        <v>0</v>
      </c>
      <c r="C1" s="93" t="s">
        <v>1</v>
      </c>
      <c r="D1" s="94" t="s">
        <v>30</v>
      </c>
      <c r="E1" s="94"/>
      <c r="F1" s="94"/>
      <c r="G1" s="94"/>
    </row>
    <row r="2" spans="1:7" x14ac:dyDescent="0.35">
      <c r="A2" s="93"/>
      <c r="B2" s="93"/>
      <c r="C2" s="93"/>
      <c r="D2" s="18" t="s">
        <v>41</v>
      </c>
      <c r="E2" s="18" t="s">
        <v>40</v>
      </c>
      <c r="F2" s="12">
        <v>1</v>
      </c>
      <c r="G2" s="11" t="s">
        <v>42</v>
      </c>
    </row>
    <row r="3" spans="1:7" x14ac:dyDescent="0.35">
      <c r="A3" s="2">
        <v>1</v>
      </c>
      <c r="B3" s="3" t="s">
        <v>3</v>
      </c>
      <c r="C3" s="5">
        <v>2019</v>
      </c>
      <c r="D3" s="16">
        <v>1533682440</v>
      </c>
      <c r="E3" s="16">
        <v>1924688333</v>
      </c>
      <c r="F3" s="10">
        <v>1</v>
      </c>
      <c r="G3" s="70">
        <f>D3/E3*F3</f>
        <v>0.79684716413771706</v>
      </c>
    </row>
    <row r="4" spans="1:7" x14ac:dyDescent="0.35">
      <c r="A4" s="2">
        <v>2</v>
      </c>
      <c r="B4" s="4"/>
      <c r="C4" s="2">
        <v>2020</v>
      </c>
      <c r="D4" s="16">
        <v>1533682440</v>
      </c>
      <c r="E4" s="16">
        <v>1924688333</v>
      </c>
      <c r="F4" s="10">
        <v>1</v>
      </c>
      <c r="G4" s="70">
        <f t="shared" ref="G4:G67" si="0">D4/E4*F4</f>
        <v>0.79684716413771706</v>
      </c>
    </row>
    <row r="5" spans="1:7" x14ac:dyDescent="0.35">
      <c r="A5" s="2">
        <v>3</v>
      </c>
      <c r="B5" s="4"/>
      <c r="C5" s="2">
        <v>2021</v>
      </c>
      <c r="D5" s="16">
        <v>1533682440</v>
      </c>
      <c r="E5" s="16">
        <v>1924688333</v>
      </c>
      <c r="F5" s="10">
        <v>1</v>
      </c>
      <c r="G5" s="70">
        <f t="shared" si="0"/>
        <v>0.79684716413771706</v>
      </c>
    </row>
    <row r="6" spans="1:7" x14ac:dyDescent="0.35">
      <c r="A6" s="2">
        <v>4</v>
      </c>
      <c r="B6" s="4"/>
      <c r="C6" s="2">
        <v>2022</v>
      </c>
      <c r="D6" s="16">
        <v>1533682440</v>
      </c>
      <c r="E6" s="16">
        <v>1924688333</v>
      </c>
      <c r="F6" s="10">
        <v>1</v>
      </c>
      <c r="G6" s="70">
        <f t="shared" si="0"/>
        <v>0.79684716413771706</v>
      </c>
    </row>
    <row r="7" spans="1:7" x14ac:dyDescent="0.35">
      <c r="A7" s="2">
        <v>5</v>
      </c>
      <c r="B7" s="3" t="s">
        <v>4</v>
      </c>
      <c r="C7" s="5">
        <v>2019</v>
      </c>
      <c r="D7" s="16">
        <v>539896713</v>
      </c>
      <c r="E7" s="16">
        <v>589896800</v>
      </c>
      <c r="F7" s="10">
        <v>1</v>
      </c>
      <c r="G7" s="70">
        <f t="shared" si="0"/>
        <v>0.91523926388480159</v>
      </c>
    </row>
    <row r="8" spans="1:7" x14ac:dyDescent="0.35">
      <c r="A8" s="2">
        <v>6</v>
      </c>
      <c r="B8" s="4"/>
      <c r="C8" s="2">
        <v>2020</v>
      </c>
      <c r="D8" s="16">
        <v>539896713</v>
      </c>
      <c r="E8" s="16">
        <v>589896800</v>
      </c>
      <c r="F8" s="10">
        <v>1</v>
      </c>
      <c r="G8" s="70">
        <f t="shared" si="0"/>
        <v>0.91523926388480159</v>
      </c>
    </row>
    <row r="9" spans="1:7" x14ac:dyDescent="0.35">
      <c r="A9" s="2">
        <v>7</v>
      </c>
      <c r="B9" s="4"/>
      <c r="C9" s="2">
        <v>2021</v>
      </c>
      <c r="D9" s="16">
        <v>539896713</v>
      </c>
      <c r="E9" s="16">
        <v>589896800</v>
      </c>
      <c r="F9" s="10">
        <v>1</v>
      </c>
      <c r="G9" s="70">
        <f t="shared" si="0"/>
        <v>0.91523926388480159</v>
      </c>
    </row>
    <row r="10" spans="1:7" x14ac:dyDescent="0.35">
      <c r="A10" s="2">
        <v>8</v>
      </c>
      <c r="B10" s="4"/>
      <c r="C10" s="2">
        <v>2022</v>
      </c>
      <c r="D10" s="16">
        <v>539896713</v>
      </c>
      <c r="E10" s="16">
        <v>589896800</v>
      </c>
      <c r="F10" s="10">
        <v>1</v>
      </c>
      <c r="G10" s="70">
        <f t="shared" si="0"/>
        <v>0.91523926388480159</v>
      </c>
    </row>
    <row r="11" spans="1:7" x14ac:dyDescent="0.35">
      <c r="A11" s="2">
        <v>9</v>
      </c>
      <c r="B11" s="3" t="s">
        <v>5</v>
      </c>
      <c r="C11" s="5">
        <v>2019</v>
      </c>
      <c r="D11" s="16">
        <f>930000000+694312500</f>
        <v>1624312500</v>
      </c>
      <c r="E11" s="16">
        <v>3000000000</v>
      </c>
      <c r="F11" s="10">
        <v>1</v>
      </c>
      <c r="G11" s="70">
        <f t="shared" si="0"/>
        <v>0.54143750000000002</v>
      </c>
    </row>
    <row r="12" spans="1:7" x14ac:dyDescent="0.35">
      <c r="A12" s="2">
        <v>10</v>
      </c>
      <c r="B12" s="4"/>
      <c r="C12" s="2">
        <v>2020</v>
      </c>
      <c r="D12" s="16">
        <f>930000000+190687500+190687500+190687500+122250000</f>
        <v>1624312500</v>
      </c>
      <c r="E12" s="16">
        <v>3000000000</v>
      </c>
      <c r="F12" s="10">
        <v>1</v>
      </c>
      <c r="G12" s="70">
        <f t="shared" si="0"/>
        <v>0.54143750000000002</v>
      </c>
    </row>
    <row r="13" spans="1:7" x14ac:dyDescent="0.35">
      <c r="A13" s="2">
        <v>11</v>
      </c>
      <c r="B13" s="4"/>
      <c r="C13" s="2">
        <v>2021</v>
      </c>
      <c r="D13" s="16">
        <f>930000000+190687500+190687500+190687500</f>
        <v>1502062500</v>
      </c>
      <c r="E13" s="16">
        <v>3000000000</v>
      </c>
      <c r="F13" s="10">
        <v>1</v>
      </c>
      <c r="G13" s="70">
        <f t="shared" si="0"/>
        <v>0.50068749999999995</v>
      </c>
    </row>
    <row r="14" spans="1:7" x14ac:dyDescent="0.35">
      <c r="A14" s="2">
        <v>12</v>
      </c>
      <c r="B14" s="4"/>
      <c r="C14" s="2">
        <v>2022</v>
      </c>
      <c r="D14" s="16">
        <f>930000000+190687500+190687500+190687500</f>
        <v>1502062500</v>
      </c>
      <c r="E14" s="16">
        <v>3000000000</v>
      </c>
      <c r="F14" s="10">
        <v>1</v>
      </c>
      <c r="G14" s="70">
        <f t="shared" si="0"/>
        <v>0.50068749999999995</v>
      </c>
    </row>
    <row r="15" spans="1:7" x14ac:dyDescent="0.35">
      <c r="A15" s="2">
        <v>13</v>
      </c>
      <c r="B15" s="3" t="s">
        <v>6</v>
      </c>
      <c r="C15" s="5">
        <v>2019</v>
      </c>
      <c r="D15" s="16">
        <f>1401271833+1201296998</f>
        <v>2602568831</v>
      </c>
      <c r="E15" s="16">
        <v>4498997362</v>
      </c>
      <c r="F15" s="10">
        <v>1</v>
      </c>
      <c r="G15" s="70">
        <f t="shared" si="0"/>
        <v>0.5784775187872182</v>
      </c>
    </row>
    <row r="16" spans="1:7" x14ac:dyDescent="0.35">
      <c r="A16" s="2">
        <v>14</v>
      </c>
      <c r="B16" s="4"/>
      <c r="C16" s="2">
        <v>2020</v>
      </c>
      <c r="D16" s="16">
        <f>1401271833+1201296998</f>
        <v>2602568831</v>
      </c>
      <c r="E16" s="16">
        <v>4498997362</v>
      </c>
      <c r="F16" s="10">
        <v>1</v>
      </c>
      <c r="G16" s="70">
        <f t="shared" si="0"/>
        <v>0.5784775187872182</v>
      </c>
    </row>
    <row r="17" spans="1:7" x14ac:dyDescent="0.35">
      <c r="A17" s="2">
        <v>15</v>
      </c>
      <c r="B17" s="4"/>
      <c r="C17" s="2">
        <v>2021</v>
      </c>
      <c r="D17" s="16">
        <f>1401271833+1201296998</f>
        <v>2602568831</v>
      </c>
      <c r="E17" s="16">
        <v>4498997362</v>
      </c>
      <c r="F17" s="10">
        <v>1</v>
      </c>
      <c r="G17" s="70">
        <f t="shared" si="0"/>
        <v>0.5784775187872182</v>
      </c>
    </row>
    <row r="18" spans="1:7" x14ac:dyDescent="0.35">
      <c r="A18" s="2">
        <v>16</v>
      </c>
      <c r="B18" s="4"/>
      <c r="C18" s="2">
        <v>2022</v>
      </c>
      <c r="D18" s="16">
        <f>1487271833+1201296998</f>
        <v>2688568831</v>
      </c>
      <c r="E18" s="16">
        <v>4498997362</v>
      </c>
      <c r="F18" s="10">
        <v>1</v>
      </c>
      <c r="G18" s="70">
        <f t="shared" si="0"/>
        <v>0.59759288896422336</v>
      </c>
    </row>
    <row r="19" spans="1:7" x14ac:dyDescent="0.35">
      <c r="A19" s="2">
        <v>17</v>
      </c>
      <c r="B19" s="3" t="s">
        <v>7</v>
      </c>
      <c r="C19" s="5">
        <v>2019</v>
      </c>
      <c r="D19" s="16">
        <f>4936000000+22400000+6400000</f>
        <v>4964800000</v>
      </c>
      <c r="E19" s="16">
        <v>5885000000</v>
      </c>
      <c r="F19" s="10">
        <v>1</v>
      </c>
      <c r="G19" s="70">
        <f t="shared" si="0"/>
        <v>0.84363636363636363</v>
      </c>
    </row>
    <row r="20" spans="1:7" x14ac:dyDescent="0.35">
      <c r="A20" s="2">
        <v>18</v>
      </c>
      <c r="B20" s="4"/>
      <c r="C20" s="2">
        <v>2020</v>
      </c>
      <c r="D20" s="16">
        <f t="shared" ref="D20:D22" si="1">4936000000+22400000+6400000</f>
        <v>4964800000</v>
      </c>
      <c r="E20" s="16">
        <v>5885000000</v>
      </c>
      <c r="F20" s="10">
        <v>1</v>
      </c>
      <c r="G20" s="70">
        <f t="shared" si="0"/>
        <v>0.84363636363636363</v>
      </c>
    </row>
    <row r="21" spans="1:7" x14ac:dyDescent="0.35">
      <c r="A21" s="2">
        <v>19</v>
      </c>
      <c r="B21" s="4"/>
      <c r="C21" s="2">
        <v>2021</v>
      </c>
      <c r="D21" s="16">
        <f t="shared" si="1"/>
        <v>4964800000</v>
      </c>
      <c r="E21" s="16">
        <v>5885000000</v>
      </c>
      <c r="F21" s="10">
        <v>1</v>
      </c>
      <c r="G21" s="70">
        <f t="shared" si="0"/>
        <v>0.84363636363636363</v>
      </c>
    </row>
    <row r="22" spans="1:7" x14ac:dyDescent="0.35">
      <c r="A22" s="2">
        <v>20</v>
      </c>
      <c r="B22" s="4"/>
      <c r="C22" s="2">
        <v>2022</v>
      </c>
      <c r="D22" s="16">
        <f t="shared" si="1"/>
        <v>4964800000</v>
      </c>
      <c r="E22" s="16">
        <v>5885000000</v>
      </c>
      <c r="F22" s="10">
        <v>1</v>
      </c>
      <c r="G22" s="70">
        <f t="shared" si="0"/>
        <v>0.84363636363636363</v>
      </c>
    </row>
    <row r="23" spans="1:7" x14ac:dyDescent="0.35">
      <c r="A23" s="2">
        <v>21</v>
      </c>
      <c r="B23" s="3" t="s">
        <v>8</v>
      </c>
      <c r="C23" s="5">
        <v>2019</v>
      </c>
      <c r="D23" s="16">
        <f>517771000+29700000</f>
        <v>547471000</v>
      </c>
      <c r="E23" s="16">
        <v>595000000</v>
      </c>
      <c r="F23" s="10">
        <v>1</v>
      </c>
      <c r="G23" s="70">
        <f>D23/E24*F23</f>
        <v>0.9201193277310924</v>
      </c>
    </row>
    <row r="24" spans="1:7" x14ac:dyDescent="0.35">
      <c r="A24" s="2">
        <v>22</v>
      </c>
      <c r="B24" s="4"/>
      <c r="C24" s="2">
        <v>2020</v>
      </c>
      <c r="D24" s="16">
        <f>517771000+29490000</f>
        <v>547261000</v>
      </c>
      <c r="E24" s="16">
        <v>595000000</v>
      </c>
      <c r="F24" s="10">
        <v>1</v>
      </c>
      <c r="G24" s="70">
        <f>D24/E25*F24</f>
        <v>0.91976638655462184</v>
      </c>
    </row>
    <row r="25" spans="1:7" x14ac:dyDescent="0.35">
      <c r="A25" s="2">
        <v>23</v>
      </c>
      <c r="B25" s="4"/>
      <c r="C25" s="2">
        <v>2021</v>
      </c>
      <c r="D25" s="16">
        <v>517771000</v>
      </c>
      <c r="E25" s="16">
        <v>595000000</v>
      </c>
      <c r="F25" s="10">
        <v>1</v>
      </c>
      <c r="G25" s="70">
        <f t="shared" si="0"/>
        <v>0.8702033613445378</v>
      </c>
    </row>
    <row r="26" spans="1:7" x14ac:dyDescent="0.35">
      <c r="A26" s="2">
        <v>24</v>
      </c>
      <c r="B26" s="4"/>
      <c r="C26" s="2">
        <v>2022</v>
      </c>
      <c r="D26" s="16">
        <v>517771000</v>
      </c>
      <c r="E26" s="16">
        <v>595000000</v>
      </c>
      <c r="F26" s="10">
        <v>1</v>
      </c>
      <c r="G26" s="70">
        <f t="shared" si="0"/>
        <v>0.8702033613445378</v>
      </c>
    </row>
    <row r="27" spans="1:7" x14ac:dyDescent="0.35">
      <c r="A27" s="2">
        <v>25</v>
      </c>
      <c r="B27" s="3" t="s">
        <v>9</v>
      </c>
      <c r="C27" s="5">
        <v>2019</v>
      </c>
      <c r="D27" s="16">
        <f>6694900000+3070000000</f>
        <v>9764900000</v>
      </c>
      <c r="E27" s="16">
        <f>119440000+12000000000</f>
        <v>12119440000</v>
      </c>
      <c r="F27" s="10">
        <v>1</v>
      </c>
      <c r="G27" s="70">
        <f t="shared" si="0"/>
        <v>0.80572204656320756</v>
      </c>
    </row>
    <row r="28" spans="1:7" x14ac:dyDescent="0.35">
      <c r="A28" s="2">
        <v>26</v>
      </c>
      <c r="B28" s="4"/>
      <c r="C28" s="2">
        <v>2020</v>
      </c>
      <c r="D28" s="16">
        <f>6680000000+3070000000</f>
        <v>9750000000</v>
      </c>
      <c r="E28" s="16">
        <f>100748800+12000000000</f>
        <v>12100748800</v>
      </c>
      <c r="F28" s="10">
        <v>1</v>
      </c>
      <c r="G28" s="70">
        <f t="shared" si="0"/>
        <v>0.80573526160629005</v>
      </c>
    </row>
    <row r="29" spans="1:7" x14ac:dyDescent="0.35">
      <c r="A29" s="2">
        <v>27</v>
      </c>
      <c r="B29" s="4"/>
      <c r="C29" s="2">
        <v>2021</v>
      </c>
      <c r="D29" s="16">
        <f>6694900000+3070000000</f>
        <v>9764900000</v>
      </c>
      <c r="E29" s="16">
        <f>104748800+12000000000</f>
        <v>12104748800</v>
      </c>
      <c r="F29" s="10">
        <v>1</v>
      </c>
      <c r="G29" s="70">
        <f t="shared" si="0"/>
        <v>0.80669992920464406</v>
      </c>
    </row>
    <row r="30" spans="1:7" x14ac:dyDescent="0.35">
      <c r="A30" s="2">
        <v>28</v>
      </c>
      <c r="B30" s="4"/>
      <c r="C30" s="2">
        <v>2022</v>
      </c>
      <c r="D30" s="16">
        <f>6694900000+2530700000</f>
        <v>9225600000</v>
      </c>
      <c r="E30" s="16">
        <f>12000000000+105061600</f>
        <v>12105061600</v>
      </c>
      <c r="F30" s="10">
        <v>1</v>
      </c>
      <c r="G30" s="70">
        <f t="shared" si="0"/>
        <v>0.76212747236247025</v>
      </c>
    </row>
    <row r="31" spans="1:7" x14ac:dyDescent="0.35">
      <c r="A31" s="2">
        <v>29</v>
      </c>
      <c r="B31" s="3" t="s">
        <v>10</v>
      </c>
      <c r="C31" s="5">
        <v>2019</v>
      </c>
      <c r="D31" s="16">
        <f>13619490541+10730758824+7751901498+5400000000+3861100514</f>
        <v>41363251377</v>
      </c>
      <c r="E31" s="16">
        <v>59572382787</v>
      </c>
      <c r="F31" s="10">
        <v>1</v>
      </c>
      <c r="G31" s="70">
        <f t="shared" si="0"/>
        <v>0.69433602353784596</v>
      </c>
    </row>
    <row r="32" spans="1:7" x14ac:dyDescent="0.35">
      <c r="A32" s="2">
        <v>30</v>
      </c>
      <c r="B32" s="4"/>
      <c r="C32" s="2">
        <v>2020</v>
      </c>
      <c r="D32" s="16">
        <f>13526713041+10730758824+7751901498+5400000000+3861100514</f>
        <v>41270473877</v>
      </c>
      <c r="E32" s="16">
        <v>59572382787</v>
      </c>
      <c r="F32" s="10">
        <v>1</v>
      </c>
      <c r="G32" s="70">
        <f t="shared" si="0"/>
        <v>0.69277863241700188</v>
      </c>
    </row>
    <row r="33" spans="1:7" x14ac:dyDescent="0.35">
      <c r="A33" s="2">
        <v>31</v>
      </c>
      <c r="B33" s="4"/>
      <c r="C33" s="2">
        <v>2021</v>
      </c>
      <c r="D33" s="16">
        <f>26898933014+7754130798+13458715541</f>
        <v>48111779353</v>
      </c>
      <c r="E33" s="16">
        <v>59572382787</v>
      </c>
      <c r="F33" s="10">
        <v>1</v>
      </c>
      <c r="G33" s="70">
        <f t="shared" si="0"/>
        <v>0.80761885125567023</v>
      </c>
    </row>
    <row r="34" spans="1:7" x14ac:dyDescent="0.35">
      <c r="A34" s="2">
        <v>32</v>
      </c>
      <c r="B34" s="4"/>
      <c r="C34" s="2">
        <v>2022</v>
      </c>
      <c r="D34" s="16">
        <f>26898933014+6796062500+5732379798+2105640541</f>
        <v>41533015853</v>
      </c>
      <c r="E34" s="16">
        <v>59572382787</v>
      </c>
      <c r="F34" s="10">
        <v>1</v>
      </c>
      <c r="G34" s="70">
        <f t="shared" si="0"/>
        <v>0.69718574127713784</v>
      </c>
    </row>
    <row r="35" spans="1:7" x14ac:dyDescent="0.35">
      <c r="A35" s="2">
        <v>33</v>
      </c>
      <c r="B35" s="3" t="s">
        <v>11</v>
      </c>
      <c r="C35" s="5">
        <v>2019</v>
      </c>
      <c r="D35" s="16">
        <f>467061150+210200700</f>
        <v>677261850</v>
      </c>
      <c r="E35" s="16">
        <v>800659050</v>
      </c>
      <c r="F35" s="10">
        <v>1</v>
      </c>
      <c r="G35" s="70">
        <f t="shared" si="0"/>
        <v>0.84588046559893382</v>
      </c>
    </row>
    <row r="36" spans="1:7" x14ac:dyDescent="0.35">
      <c r="A36" s="2">
        <v>34</v>
      </c>
      <c r="B36" s="4"/>
      <c r="C36" s="2">
        <v>2020</v>
      </c>
      <c r="D36" s="16">
        <f>467061150+210200700</f>
        <v>677261850</v>
      </c>
      <c r="E36" s="16">
        <v>800659050</v>
      </c>
      <c r="F36" s="10">
        <v>1</v>
      </c>
      <c r="G36" s="70">
        <f t="shared" si="0"/>
        <v>0.84588046559893382</v>
      </c>
    </row>
    <row r="37" spans="1:7" x14ac:dyDescent="0.35">
      <c r="A37" s="2">
        <v>35</v>
      </c>
      <c r="B37" s="4"/>
      <c r="C37" s="2">
        <v>2021</v>
      </c>
      <c r="D37" s="16">
        <f>467061150+210200700</f>
        <v>677261850</v>
      </c>
      <c r="E37" s="16">
        <v>800659050</v>
      </c>
      <c r="F37" s="10">
        <v>1</v>
      </c>
      <c r="G37" s="70">
        <f t="shared" si="0"/>
        <v>0.84588046559893382</v>
      </c>
    </row>
    <row r="38" spans="1:7" x14ac:dyDescent="0.35">
      <c r="A38" s="2">
        <v>36</v>
      </c>
      <c r="B38" s="4"/>
      <c r="C38" s="2">
        <v>2022</v>
      </c>
      <c r="D38" s="16">
        <f>467061150+210200700</f>
        <v>677261850</v>
      </c>
      <c r="E38" s="16">
        <v>800659050</v>
      </c>
      <c r="F38" s="10">
        <v>1</v>
      </c>
      <c r="G38" s="70">
        <f t="shared" si="0"/>
        <v>0.84588046559893382</v>
      </c>
    </row>
    <row r="39" spans="1:7" x14ac:dyDescent="0.35">
      <c r="A39" s="2">
        <v>37</v>
      </c>
      <c r="B39" s="3" t="s">
        <v>12</v>
      </c>
      <c r="C39" s="5">
        <v>2019</v>
      </c>
      <c r="D39" s="16">
        <f>2921636700+1550365000+788898508+669876000</f>
        <v>5930776208</v>
      </c>
      <c r="E39" s="16">
        <v>10599842400</v>
      </c>
      <c r="F39" s="10">
        <v>1</v>
      </c>
      <c r="G39" s="70">
        <f t="shared" si="0"/>
        <v>0.55951550826831165</v>
      </c>
    </row>
    <row r="40" spans="1:7" x14ac:dyDescent="0.35">
      <c r="A40" s="2">
        <v>38</v>
      </c>
      <c r="B40" s="4"/>
      <c r="C40" s="2">
        <v>2020</v>
      </c>
      <c r="D40" s="16">
        <f>2921636700+1550365000+788898508+669876000</f>
        <v>5930776208</v>
      </c>
      <c r="E40" s="16">
        <v>10599842400</v>
      </c>
      <c r="F40" s="10">
        <v>1</v>
      </c>
      <c r="G40" s="70">
        <f t="shared" si="0"/>
        <v>0.55951550826831165</v>
      </c>
    </row>
    <row r="41" spans="1:7" x14ac:dyDescent="0.35">
      <c r="A41" s="2">
        <v>39</v>
      </c>
      <c r="B41" s="4"/>
      <c r="C41" s="2">
        <v>2021</v>
      </c>
      <c r="D41" s="16">
        <f>2928761700+1550365000+788898508+669876000</f>
        <v>5937901208</v>
      </c>
      <c r="E41" s="16">
        <v>10599842400</v>
      </c>
      <c r="F41" s="10">
        <v>1</v>
      </c>
      <c r="G41" s="70">
        <f t="shared" si="0"/>
        <v>0.56018768807355102</v>
      </c>
    </row>
    <row r="42" spans="1:7" x14ac:dyDescent="0.35">
      <c r="A42" s="2">
        <v>40</v>
      </c>
      <c r="B42" s="4"/>
      <c r="C42" s="2">
        <v>2022</v>
      </c>
      <c r="D42" s="16">
        <f>2928761700+1550365000+788898508+669876000</f>
        <v>5937901208</v>
      </c>
      <c r="E42" s="16">
        <v>10599842400</v>
      </c>
      <c r="F42" s="10">
        <v>1</v>
      </c>
      <c r="G42" s="70">
        <f t="shared" si="0"/>
        <v>0.56018768807355102</v>
      </c>
    </row>
    <row r="43" spans="1:7" x14ac:dyDescent="0.35">
      <c r="A43" s="2">
        <v>41</v>
      </c>
      <c r="B43" s="3" t="s">
        <v>13</v>
      </c>
      <c r="C43" s="5">
        <v>2019</v>
      </c>
      <c r="D43" s="16">
        <f>1564380300+1220537090+610154000+562760000+468187000+434216000+345739200+282552000+282215000+123431000+114231000+90532000+86434900+86434900</f>
        <v>6271804390</v>
      </c>
      <c r="E43" s="16">
        <v>7379580291</v>
      </c>
      <c r="F43" s="10">
        <v>1</v>
      </c>
      <c r="G43" s="70">
        <f t="shared" si="0"/>
        <v>0.84988632722771196</v>
      </c>
    </row>
    <row r="44" spans="1:7" x14ac:dyDescent="0.35">
      <c r="A44" s="2">
        <v>42</v>
      </c>
      <c r="B44" s="4"/>
      <c r="C44" s="2">
        <v>2020</v>
      </c>
      <c r="D44" s="16">
        <f>1499605800+1220537090+621432300+591611600+445118300+367047300+315565500+289377100+126164439+125867000+114297800+113672800+94105600+97230600+55058872+53056472+66641317</f>
        <v>6196389890</v>
      </c>
      <c r="E44" s="16">
        <v>7344805491</v>
      </c>
      <c r="F44" s="10">
        <v>1</v>
      </c>
      <c r="G44" s="70">
        <f t="shared" si="0"/>
        <v>0.84364247597744857</v>
      </c>
    </row>
    <row r="45" spans="1:7" x14ac:dyDescent="0.35">
      <c r="A45" s="2">
        <v>43</v>
      </c>
      <c r="B45" s="4"/>
      <c r="C45" s="2">
        <v>2021</v>
      </c>
      <c r="D45" s="16">
        <f>7582916600+6102685450+3107161500+2247813700+1855236500+1633383000+571489000+568364000+492653000+480528000</f>
        <v>24642230750</v>
      </c>
      <c r="E45" s="16">
        <v>36533854955</v>
      </c>
      <c r="F45" s="10">
        <v>1</v>
      </c>
      <c r="G45" s="70">
        <f t="shared" si="0"/>
        <v>0.67450398487519803</v>
      </c>
    </row>
    <row r="46" spans="1:7" x14ac:dyDescent="0.35">
      <c r="A46" s="2">
        <v>44</v>
      </c>
      <c r="B46" s="4"/>
      <c r="C46" s="2">
        <v>2022</v>
      </c>
      <c r="D46" s="16">
        <f>10768830564+7202314700+2738296600+1939160200+1496961300+569079500+332372041</f>
        <v>25047014905</v>
      </c>
      <c r="E46" s="16">
        <v>36528254855</v>
      </c>
      <c r="F46" s="10">
        <v>1</v>
      </c>
      <c r="G46" s="70">
        <f t="shared" si="0"/>
        <v>0.6856887908941961</v>
      </c>
    </row>
    <row r="47" spans="1:7" x14ac:dyDescent="0.35">
      <c r="A47" s="2">
        <v>45</v>
      </c>
      <c r="B47" s="3" t="s">
        <v>14</v>
      </c>
      <c r="C47" s="5">
        <v>2019</v>
      </c>
      <c r="D47" s="16">
        <f>1571428570+15714286+7857143+7857143+7857143+7857143</f>
        <v>1618571428</v>
      </c>
      <c r="E47" s="16">
        <v>2378405500</v>
      </c>
      <c r="F47" s="10">
        <v>1</v>
      </c>
      <c r="G47" s="70">
        <f t="shared" si="0"/>
        <v>0.68052795370680064</v>
      </c>
    </row>
    <row r="48" spans="1:7" x14ac:dyDescent="0.35">
      <c r="A48" s="2">
        <v>46</v>
      </c>
      <c r="B48" s="4"/>
      <c r="C48" s="2">
        <v>2020</v>
      </c>
      <c r="D48" s="16">
        <f>1571428570+15714286+7857143+7857143+7857143+7857143</f>
        <v>1618571428</v>
      </c>
      <c r="E48" s="16">
        <v>2419438170</v>
      </c>
      <c r="F48" s="10">
        <v>1</v>
      </c>
      <c r="G48" s="70">
        <f t="shared" si="0"/>
        <v>0.66898648127056703</v>
      </c>
    </row>
    <row r="49" spans="1:7" x14ac:dyDescent="0.35">
      <c r="A49" s="2">
        <v>47</v>
      </c>
      <c r="B49" s="4"/>
      <c r="C49" s="2">
        <v>2021</v>
      </c>
      <c r="D49" s="16">
        <f>6285714280+62857144+31428572+31428572+31428572+31428572</f>
        <v>6474285712</v>
      </c>
      <c r="E49" s="16">
        <v>9677752680</v>
      </c>
      <c r="F49" s="10">
        <v>1</v>
      </c>
      <c r="G49" s="70">
        <f t="shared" si="0"/>
        <v>0.66898648127056703</v>
      </c>
    </row>
    <row r="50" spans="1:7" x14ac:dyDescent="0.35">
      <c r="A50" s="2">
        <v>48</v>
      </c>
      <c r="B50" s="4"/>
      <c r="C50" s="2">
        <v>2022</v>
      </c>
      <c r="D50" s="16">
        <f>6285714280+62857144+31428572+31428572+31428572+31428572</f>
        <v>6474285712</v>
      </c>
      <c r="E50" s="16">
        <v>9677752680</v>
      </c>
      <c r="F50" s="10">
        <v>1</v>
      </c>
      <c r="G50" s="70">
        <f t="shared" si="0"/>
        <v>0.66898648127056703</v>
      </c>
    </row>
    <row r="51" spans="1:7" x14ac:dyDescent="0.35">
      <c r="A51" s="2">
        <v>49</v>
      </c>
      <c r="B51" s="3" t="s">
        <v>15</v>
      </c>
      <c r="C51" s="5">
        <v>2019</v>
      </c>
      <c r="D51" s="16">
        <v>9391678000</v>
      </c>
      <c r="E51" s="16">
        <v>11661908000</v>
      </c>
      <c r="F51" s="10">
        <v>1</v>
      </c>
      <c r="G51" s="70">
        <f>D51/E51*F51</f>
        <v>0.8053294538080733</v>
      </c>
    </row>
    <row r="52" spans="1:7" x14ac:dyDescent="0.35">
      <c r="A52" s="2">
        <v>50</v>
      </c>
      <c r="B52" s="4"/>
      <c r="C52" s="2">
        <v>2020</v>
      </c>
      <c r="D52" s="16">
        <v>9391678000</v>
      </c>
      <c r="E52" s="16">
        <v>11661908000</v>
      </c>
      <c r="F52" s="10">
        <v>1</v>
      </c>
      <c r="G52" s="70">
        <f t="shared" ref="G52:G58" si="2">D52/E52*F52</f>
        <v>0.8053294538080733</v>
      </c>
    </row>
    <row r="53" spans="1:7" x14ac:dyDescent="0.35">
      <c r="A53" s="2">
        <v>51</v>
      </c>
      <c r="B53" s="4"/>
      <c r="C53" s="2">
        <v>2021</v>
      </c>
      <c r="D53" s="16">
        <v>9391678000</v>
      </c>
      <c r="E53" s="16">
        <v>11661908000</v>
      </c>
      <c r="F53" s="10">
        <v>1</v>
      </c>
      <c r="G53" s="70">
        <f t="shared" si="2"/>
        <v>0.8053294538080733</v>
      </c>
    </row>
    <row r="54" spans="1:7" x14ac:dyDescent="0.35">
      <c r="A54" s="2">
        <v>52</v>
      </c>
      <c r="B54" s="4"/>
      <c r="C54" s="2">
        <v>2022</v>
      </c>
      <c r="D54" s="16">
        <v>9391678000</v>
      </c>
      <c r="E54" s="16">
        <v>11661908000</v>
      </c>
      <c r="F54" s="10">
        <v>1</v>
      </c>
      <c r="G54" s="70">
        <f t="shared" si="2"/>
        <v>0.8053294538080733</v>
      </c>
    </row>
    <row r="55" spans="1:7" x14ac:dyDescent="0.35">
      <c r="A55" s="2">
        <v>53</v>
      </c>
      <c r="B55" s="3" t="s">
        <v>16</v>
      </c>
      <c r="C55" s="5">
        <v>2019</v>
      </c>
      <c r="D55" s="16">
        <v>4396103450</v>
      </c>
      <c r="E55" s="16">
        <v>8780426500</v>
      </c>
      <c r="F55" s="10">
        <v>1</v>
      </c>
      <c r="G55" s="70">
        <f t="shared" si="2"/>
        <v>0.50067083301705217</v>
      </c>
    </row>
    <row r="56" spans="1:7" x14ac:dyDescent="0.35">
      <c r="A56" s="2">
        <v>54</v>
      </c>
      <c r="B56" s="4"/>
      <c r="C56" s="2">
        <v>2020</v>
      </c>
      <c r="D56" s="16">
        <v>4396103450</v>
      </c>
      <c r="E56" s="16">
        <v>8780426500</v>
      </c>
      <c r="F56" s="10">
        <v>1</v>
      </c>
      <c r="G56" s="70">
        <f t="shared" si="2"/>
        <v>0.50067083301705217</v>
      </c>
    </row>
    <row r="57" spans="1:7" x14ac:dyDescent="0.35">
      <c r="A57" s="2">
        <v>55</v>
      </c>
      <c r="B57" s="4"/>
      <c r="C57" s="2">
        <v>2021</v>
      </c>
      <c r="D57" s="16">
        <v>4396103450</v>
      </c>
      <c r="E57" s="16">
        <v>8780426500</v>
      </c>
      <c r="F57" s="10">
        <v>1</v>
      </c>
      <c r="G57" s="70">
        <f t="shared" si="2"/>
        <v>0.50067083301705217</v>
      </c>
    </row>
    <row r="58" spans="1:7" x14ac:dyDescent="0.35">
      <c r="A58" s="2">
        <v>56</v>
      </c>
      <c r="B58" s="4"/>
      <c r="C58" s="2">
        <v>2022</v>
      </c>
      <c r="D58" s="16">
        <v>4396103450</v>
      </c>
      <c r="E58" s="16">
        <v>8780426500</v>
      </c>
      <c r="F58" s="10">
        <v>1</v>
      </c>
      <c r="G58" s="70">
        <f t="shared" si="2"/>
        <v>0.50067083301705217</v>
      </c>
    </row>
    <row r="59" spans="1:7" x14ac:dyDescent="0.35">
      <c r="A59" s="2">
        <v>57</v>
      </c>
      <c r="B59" s="3" t="s">
        <v>17</v>
      </c>
      <c r="C59" s="5">
        <v>2019</v>
      </c>
      <c r="D59" s="16">
        <v>6148115716</v>
      </c>
      <c r="E59" s="16">
        <v>11719214001</v>
      </c>
      <c r="F59" s="10">
        <v>1</v>
      </c>
      <c r="G59" s="70">
        <f t="shared" si="0"/>
        <v>0.52461843562847998</v>
      </c>
    </row>
    <row r="60" spans="1:7" x14ac:dyDescent="0.35">
      <c r="A60" s="2">
        <v>58</v>
      </c>
      <c r="B60" s="4"/>
      <c r="C60" s="2">
        <v>2020</v>
      </c>
      <c r="D60" s="16">
        <v>6387169116</v>
      </c>
      <c r="E60" s="16">
        <v>11657690601</v>
      </c>
      <c r="F60" s="10">
        <v>1</v>
      </c>
      <c r="G60" s="70">
        <f t="shared" si="0"/>
        <v>0.54789317495285961</v>
      </c>
    </row>
    <row r="61" spans="1:7" x14ac:dyDescent="0.35">
      <c r="A61" s="2">
        <v>59</v>
      </c>
      <c r="B61" s="4"/>
      <c r="C61" s="2">
        <v>2021</v>
      </c>
      <c r="D61" s="16">
        <v>6449760916</v>
      </c>
      <c r="E61" s="16">
        <v>11620308701</v>
      </c>
      <c r="F61" s="10">
        <v>1</v>
      </c>
      <c r="G61" s="70">
        <f t="shared" si="0"/>
        <v>0.55504213200850316</v>
      </c>
    </row>
    <row r="62" spans="1:7" x14ac:dyDescent="0.35">
      <c r="A62" s="2">
        <v>60</v>
      </c>
      <c r="B62" s="4"/>
      <c r="C62" s="2">
        <v>2022</v>
      </c>
      <c r="D62" s="16">
        <v>6500176516</v>
      </c>
      <c r="E62" s="16">
        <v>11620308701</v>
      </c>
      <c r="F62" s="10">
        <v>1</v>
      </c>
      <c r="G62" s="70">
        <f t="shared" si="0"/>
        <v>0.5593807086588517</v>
      </c>
    </row>
    <row r="63" spans="1:7" x14ac:dyDescent="0.35">
      <c r="A63" s="2">
        <v>61</v>
      </c>
      <c r="B63" s="3" t="s">
        <v>18</v>
      </c>
      <c r="C63" s="5">
        <v>2019</v>
      </c>
      <c r="D63" s="16">
        <f>4058425010+7570300</f>
        <v>4065995310</v>
      </c>
      <c r="E63" s="16">
        <v>6819963965</v>
      </c>
      <c r="F63" s="10">
        <v>1</v>
      </c>
      <c r="G63" s="70">
        <f t="shared" si="0"/>
        <v>0.59619014570555728</v>
      </c>
    </row>
    <row r="64" spans="1:7" x14ac:dyDescent="0.35">
      <c r="A64" s="2">
        <v>62</v>
      </c>
      <c r="B64" s="4"/>
      <c r="C64" s="2">
        <v>2020</v>
      </c>
      <c r="D64" s="16">
        <f>4058425010+7570300</f>
        <v>4065995310</v>
      </c>
      <c r="E64" s="16">
        <v>6819963965</v>
      </c>
      <c r="F64" s="10">
        <v>1</v>
      </c>
      <c r="G64" s="70">
        <f t="shared" si="0"/>
        <v>0.59619014570555728</v>
      </c>
    </row>
    <row r="65" spans="1:7" x14ac:dyDescent="0.35">
      <c r="A65" s="2">
        <v>63</v>
      </c>
      <c r="B65" s="4"/>
      <c r="C65" s="2">
        <v>2021</v>
      </c>
      <c r="D65" s="16">
        <f>4058425010+7570300</f>
        <v>4065995310</v>
      </c>
      <c r="E65" s="16">
        <v>6819963965</v>
      </c>
      <c r="F65" s="10">
        <v>1</v>
      </c>
      <c r="G65" s="70">
        <f t="shared" si="0"/>
        <v>0.59619014570555728</v>
      </c>
    </row>
    <row r="66" spans="1:7" x14ac:dyDescent="0.35">
      <c r="A66" s="2">
        <v>64</v>
      </c>
      <c r="B66" s="4"/>
      <c r="C66" s="2">
        <v>2022</v>
      </c>
      <c r="D66" s="16">
        <f>4058425010+7570300</f>
        <v>4065995310</v>
      </c>
      <c r="E66" s="16">
        <v>6819963965</v>
      </c>
      <c r="F66" s="10">
        <v>1</v>
      </c>
      <c r="G66" s="70">
        <f t="shared" si="0"/>
        <v>0.59619014570555728</v>
      </c>
    </row>
    <row r="67" spans="1:7" x14ac:dyDescent="0.35">
      <c r="A67" s="2">
        <v>65</v>
      </c>
      <c r="B67" s="3" t="s">
        <v>19</v>
      </c>
      <c r="C67" s="5">
        <v>2019</v>
      </c>
      <c r="D67" s="16">
        <v>1723151000</v>
      </c>
      <c r="E67" s="16">
        <v>2107000000</v>
      </c>
      <c r="F67" s="10">
        <v>1</v>
      </c>
      <c r="G67" s="70">
        <f t="shared" si="0"/>
        <v>0.8178220218319886</v>
      </c>
    </row>
    <row r="68" spans="1:7" x14ac:dyDescent="0.35">
      <c r="A68" s="2">
        <v>66</v>
      </c>
      <c r="B68" s="4"/>
      <c r="C68" s="2">
        <v>2020</v>
      </c>
      <c r="D68" s="16">
        <v>1723151000</v>
      </c>
      <c r="E68" s="16">
        <v>2107000000</v>
      </c>
      <c r="F68" s="10">
        <v>1</v>
      </c>
      <c r="G68" s="70">
        <f t="shared" ref="G68:G131" si="3">D68/E68*F68</f>
        <v>0.8178220218319886</v>
      </c>
    </row>
    <row r="69" spans="1:7" x14ac:dyDescent="0.35">
      <c r="A69" s="2">
        <v>67</v>
      </c>
      <c r="B69" s="4"/>
      <c r="C69" s="2">
        <v>2021</v>
      </c>
      <c r="D69" s="16">
        <v>1723151000</v>
      </c>
      <c r="E69" s="16">
        <v>2107000000</v>
      </c>
      <c r="F69" s="10">
        <v>1</v>
      </c>
      <c r="G69" s="70">
        <f t="shared" si="3"/>
        <v>0.8178220218319886</v>
      </c>
    </row>
    <row r="70" spans="1:7" x14ac:dyDescent="0.35">
      <c r="A70" s="2">
        <v>68</v>
      </c>
      <c r="B70" s="4"/>
      <c r="C70" s="2">
        <v>2022</v>
      </c>
      <c r="D70" s="16">
        <v>1881951000</v>
      </c>
      <c r="E70" s="16">
        <v>2107000000</v>
      </c>
      <c r="F70" s="10">
        <v>1</v>
      </c>
      <c r="G70" s="70">
        <f t="shared" si="3"/>
        <v>0.89318984337921215</v>
      </c>
    </row>
    <row r="71" spans="1:7" x14ac:dyDescent="0.35">
      <c r="A71" s="2">
        <v>69</v>
      </c>
      <c r="B71" s="3" t="s">
        <v>20</v>
      </c>
      <c r="C71" s="5">
        <v>2019</v>
      </c>
      <c r="D71" s="16">
        <f>7363121900+5844349525</f>
        <v>13207471425</v>
      </c>
      <c r="E71" s="16">
        <v>22358699725</v>
      </c>
      <c r="F71" s="10">
        <v>1</v>
      </c>
      <c r="G71" s="70">
        <f t="shared" si="3"/>
        <v>0.59070838588311514</v>
      </c>
    </row>
    <row r="72" spans="1:7" x14ac:dyDescent="0.35">
      <c r="A72" s="2">
        <v>70</v>
      </c>
      <c r="B72" s="4"/>
      <c r="C72" s="2">
        <v>2020</v>
      </c>
      <c r="D72" s="16">
        <f>7363121900+5844349525</f>
        <v>13207471425</v>
      </c>
      <c r="E72" s="16">
        <v>22358699725</v>
      </c>
      <c r="F72" s="10">
        <v>1</v>
      </c>
      <c r="G72" s="70">
        <f t="shared" si="3"/>
        <v>0.59070838588311514</v>
      </c>
    </row>
    <row r="73" spans="1:7" x14ac:dyDescent="0.35">
      <c r="A73" s="2">
        <v>71</v>
      </c>
      <c r="B73" s="4"/>
      <c r="C73" s="2">
        <v>2021</v>
      </c>
      <c r="D73" s="16">
        <f>7363121900+5844349525</f>
        <v>13207471425</v>
      </c>
      <c r="E73" s="16">
        <v>22358699725</v>
      </c>
      <c r="F73" s="10">
        <v>1</v>
      </c>
      <c r="G73" s="70">
        <f t="shared" si="3"/>
        <v>0.59070838588311514</v>
      </c>
    </row>
    <row r="74" spans="1:7" x14ac:dyDescent="0.35">
      <c r="A74" s="2">
        <v>72</v>
      </c>
      <c r="B74" s="4"/>
      <c r="C74" s="2">
        <v>2022</v>
      </c>
      <c r="D74" s="16">
        <f>7363121900+5844349525</f>
        <v>13207471425</v>
      </c>
      <c r="E74" s="16">
        <v>22358699725</v>
      </c>
      <c r="F74" s="10">
        <v>1</v>
      </c>
      <c r="G74" s="70">
        <f t="shared" si="3"/>
        <v>0.59070838588311514</v>
      </c>
    </row>
    <row r="75" spans="1:7" x14ac:dyDescent="0.35">
      <c r="A75" s="2">
        <v>73</v>
      </c>
      <c r="B75" s="3" t="s">
        <v>21</v>
      </c>
      <c r="C75" s="5">
        <v>2019</v>
      </c>
      <c r="D75" s="16">
        <f>1594467000+1285984899+1116711531+525864777</f>
        <v>4523028207</v>
      </c>
      <c r="E75" s="16">
        <v>6106828188</v>
      </c>
      <c r="F75" s="10">
        <v>1</v>
      </c>
      <c r="G75" s="70">
        <f t="shared" si="3"/>
        <v>0.74065096769675154</v>
      </c>
    </row>
    <row r="76" spans="1:7" x14ac:dyDescent="0.35">
      <c r="A76" s="2">
        <v>74</v>
      </c>
      <c r="B76" s="4"/>
      <c r="C76" s="2">
        <v>2020</v>
      </c>
      <c r="D76" s="16">
        <f>1594467000+1341524546+1285984899+525864777+375033700</f>
        <v>5122874922</v>
      </c>
      <c r="E76" s="16">
        <v>6186488888</v>
      </c>
      <c r="F76" s="10">
        <v>1</v>
      </c>
      <c r="G76" s="70">
        <f t="shared" si="3"/>
        <v>0.82807469870945638</v>
      </c>
    </row>
    <row r="77" spans="1:7" x14ac:dyDescent="0.35">
      <c r="A77" s="2">
        <v>75</v>
      </c>
      <c r="B77" s="4"/>
      <c r="C77" s="2">
        <v>2021</v>
      </c>
      <c r="D77" s="16">
        <f>1594467000+1370798546+1285984899+525864777+375033700</f>
        <v>5152148922</v>
      </c>
      <c r="E77" s="16">
        <v>5913076388</v>
      </c>
      <c r="F77" s="10">
        <v>1</v>
      </c>
      <c r="G77" s="70">
        <f t="shared" si="3"/>
        <v>0.87131445358219517</v>
      </c>
    </row>
    <row r="78" spans="1:7" x14ac:dyDescent="0.35">
      <c r="A78" s="2">
        <v>76</v>
      </c>
      <c r="B78" s="4"/>
      <c r="C78" s="2">
        <v>2022</v>
      </c>
      <c r="D78" s="16">
        <f>1594467000+1370798546+1285984899+525864777+375033700</f>
        <v>5152148922</v>
      </c>
      <c r="E78" s="16">
        <v>5703234288</v>
      </c>
      <c r="F78" s="10">
        <v>1</v>
      </c>
      <c r="G78" s="70">
        <f t="shared" si="3"/>
        <v>0.9033731847279145</v>
      </c>
    </row>
    <row r="79" spans="1:7" x14ac:dyDescent="0.35">
      <c r="A79" s="2">
        <v>77</v>
      </c>
      <c r="B79" s="3" t="s">
        <v>22</v>
      </c>
      <c r="C79" s="5">
        <v>2019</v>
      </c>
      <c r="D79" s="16">
        <f>554706046+169860287+165622443+162140837+146197980+124569855+105927874</f>
        <v>1429025322</v>
      </c>
      <c r="E79" s="16">
        <v>1726003217</v>
      </c>
      <c r="F79" s="10">
        <v>1</v>
      </c>
      <c r="G79" s="70">
        <f t="shared" si="3"/>
        <v>0.82793896785651244</v>
      </c>
    </row>
    <row r="80" spans="1:7" x14ac:dyDescent="0.35">
      <c r="A80" s="2">
        <v>78</v>
      </c>
      <c r="B80" s="4"/>
      <c r="C80" s="2">
        <v>2020</v>
      </c>
      <c r="D80" s="16">
        <f>554706046+169860287+165622443+162140837+146197980+124569855+105927874</f>
        <v>1429025322</v>
      </c>
      <c r="E80" s="16">
        <v>1726003217</v>
      </c>
      <c r="F80" s="10">
        <v>1</v>
      </c>
      <c r="G80" s="70">
        <f t="shared" si="3"/>
        <v>0.82793896785651244</v>
      </c>
    </row>
    <row r="81" spans="1:7" x14ac:dyDescent="0.35">
      <c r="A81" s="2">
        <v>79</v>
      </c>
      <c r="B81" s="4"/>
      <c r="C81" s="2">
        <v>2021</v>
      </c>
      <c r="D81" s="16">
        <f>554706046+338732360+169860287+105927874+93859834</f>
        <v>1263086401</v>
      </c>
      <c r="E81" s="16">
        <v>1730103217</v>
      </c>
      <c r="F81" s="10">
        <v>1</v>
      </c>
      <c r="G81" s="70">
        <f t="shared" si="3"/>
        <v>0.73006418841888088</v>
      </c>
    </row>
    <row r="82" spans="1:7" x14ac:dyDescent="0.35">
      <c r="A82" s="2">
        <v>80</v>
      </c>
      <c r="B82" s="4"/>
      <c r="C82" s="2">
        <v>2022</v>
      </c>
      <c r="D82" s="16">
        <f>554706046+338732360+169860287+105927874+93859834</f>
        <v>1263086401</v>
      </c>
      <c r="E82" s="16">
        <v>1730103217</v>
      </c>
      <c r="F82" s="10">
        <v>1</v>
      </c>
      <c r="G82" s="70">
        <f t="shared" si="3"/>
        <v>0.73006418841888088</v>
      </c>
    </row>
    <row r="83" spans="1:7" x14ac:dyDescent="0.35">
      <c r="A83" s="2">
        <v>81</v>
      </c>
      <c r="B83" s="3" t="s">
        <v>23</v>
      </c>
      <c r="C83" s="5">
        <v>2019</v>
      </c>
      <c r="D83" s="16">
        <f>184980375+180728750+122415875+92490000</f>
        <v>580615000</v>
      </c>
      <c r="E83" s="16">
        <v>621666450</v>
      </c>
      <c r="F83" s="10">
        <v>1</v>
      </c>
      <c r="G83" s="70">
        <f t="shared" si="3"/>
        <v>0.93396547296383781</v>
      </c>
    </row>
    <row r="84" spans="1:7" x14ac:dyDescent="0.35">
      <c r="A84" s="2">
        <v>82</v>
      </c>
      <c r="B84" s="4"/>
      <c r="C84" s="2">
        <v>2020</v>
      </c>
      <c r="D84" s="16">
        <f>184980375+180728750+122415875+92490000</f>
        <v>580615000</v>
      </c>
      <c r="E84" s="16">
        <v>621666450</v>
      </c>
      <c r="F84" s="10">
        <v>1</v>
      </c>
      <c r="G84" s="70">
        <f t="shared" si="3"/>
        <v>0.93396547296383781</v>
      </c>
    </row>
    <row r="85" spans="1:7" x14ac:dyDescent="0.35">
      <c r="A85" s="2">
        <v>83</v>
      </c>
      <c r="B85" s="4"/>
      <c r="C85" s="2">
        <v>2021</v>
      </c>
      <c r="D85" s="16">
        <f>292433314+180728750</f>
        <v>473162064</v>
      </c>
      <c r="E85" s="16">
        <v>621675350</v>
      </c>
      <c r="F85" s="10">
        <v>1</v>
      </c>
      <c r="G85" s="70">
        <f t="shared" si="3"/>
        <v>0.76110797058303825</v>
      </c>
    </row>
    <row r="86" spans="1:7" x14ac:dyDescent="0.35">
      <c r="A86" s="2">
        <v>84</v>
      </c>
      <c r="B86" s="4"/>
      <c r="C86" s="2">
        <v>2022</v>
      </c>
      <c r="D86" s="16">
        <f>292433314+180728750</f>
        <v>473162064</v>
      </c>
      <c r="E86" s="16">
        <v>621695950</v>
      </c>
      <c r="F86" s="10">
        <v>1</v>
      </c>
      <c r="G86" s="70">
        <f t="shared" si="3"/>
        <v>0.76108275114225854</v>
      </c>
    </row>
    <row r="87" spans="1:7" x14ac:dyDescent="0.35">
      <c r="A87" s="2">
        <v>85</v>
      </c>
      <c r="B87" s="3" t="s">
        <v>24</v>
      </c>
      <c r="C87" s="5">
        <v>2019</v>
      </c>
      <c r="D87" s="16">
        <v>2653897571</v>
      </c>
      <c r="E87" s="16">
        <v>2872193366</v>
      </c>
      <c r="F87" s="10">
        <v>1</v>
      </c>
      <c r="G87" s="70">
        <f t="shared" si="3"/>
        <v>0.92399683197374249</v>
      </c>
    </row>
    <row r="88" spans="1:7" x14ac:dyDescent="0.35">
      <c r="A88" s="2">
        <v>86</v>
      </c>
      <c r="B88" s="4"/>
      <c r="C88" s="2">
        <v>2020</v>
      </c>
      <c r="D88" s="16">
        <v>2653897571</v>
      </c>
      <c r="E88" s="16">
        <v>2872193366</v>
      </c>
      <c r="F88" s="10">
        <v>1</v>
      </c>
      <c r="G88" s="70">
        <f t="shared" si="3"/>
        <v>0.92399683197374249</v>
      </c>
    </row>
    <row r="89" spans="1:7" x14ac:dyDescent="0.35">
      <c r="A89" s="2">
        <v>87</v>
      </c>
      <c r="B89" s="4"/>
      <c r="C89" s="2">
        <v>2021</v>
      </c>
      <c r="D89" s="16">
        <v>2653897571</v>
      </c>
      <c r="E89" s="16">
        <v>2872193366</v>
      </c>
      <c r="F89" s="10">
        <v>1</v>
      </c>
      <c r="G89" s="70">
        <f t="shared" si="3"/>
        <v>0.92399683197374249</v>
      </c>
    </row>
    <row r="90" spans="1:7" x14ac:dyDescent="0.35">
      <c r="A90" s="2">
        <v>88</v>
      </c>
      <c r="B90" s="4"/>
      <c r="C90" s="2">
        <v>2022</v>
      </c>
      <c r="D90" s="16">
        <v>2653897571</v>
      </c>
      <c r="E90" s="16">
        <v>2872193366</v>
      </c>
      <c r="F90" s="10">
        <v>1</v>
      </c>
      <c r="G90" s="70">
        <f t="shared" si="3"/>
        <v>0.92399683197374249</v>
      </c>
    </row>
    <row r="91" spans="1:7" x14ac:dyDescent="0.35">
      <c r="A91" s="2">
        <v>89</v>
      </c>
      <c r="B91" s="3" t="s">
        <v>25</v>
      </c>
      <c r="C91" s="5">
        <v>2019</v>
      </c>
      <c r="D91" s="16">
        <f>5120000000+1147969879</f>
        <v>6267969879</v>
      </c>
      <c r="E91" s="16">
        <v>9525000000</v>
      </c>
      <c r="F91" s="10">
        <v>1</v>
      </c>
      <c r="G91" s="70">
        <f t="shared" si="3"/>
        <v>0.65805458047244092</v>
      </c>
    </row>
    <row r="92" spans="1:7" x14ac:dyDescent="0.35">
      <c r="A92" s="2">
        <v>90</v>
      </c>
      <c r="B92" s="4"/>
      <c r="C92" s="2">
        <v>2020</v>
      </c>
      <c r="D92" s="16">
        <f>5264715+1228695</f>
        <v>6493410</v>
      </c>
      <c r="E92" s="16">
        <v>9525000</v>
      </c>
      <c r="F92" s="10">
        <v>1</v>
      </c>
      <c r="G92" s="70">
        <f t="shared" si="3"/>
        <v>0.6817228346456693</v>
      </c>
    </row>
    <row r="93" spans="1:7" x14ac:dyDescent="0.35">
      <c r="A93" s="2">
        <v>91</v>
      </c>
      <c r="B93" s="4"/>
      <c r="C93" s="2">
        <v>2021</v>
      </c>
      <c r="D93" s="16">
        <f>5285798+1151060</f>
        <v>6436858</v>
      </c>
      <c r="E93" s="16">
        <v>9525000</v>
      </c>
      <c r="F93" s="10">
        <v>1</v>
      </c>
      <c r="G93" s="70">
        <f t="shared" si="3"/>
        <v>0.67578561679790028</v>
      </c>
    </row>
    <row r="94" spans="1:7" x14ac:dyDescent="0.35">
      <c r="A94" s="2">
        <v>92</v>
      </c>
      <c r="B94" s="4"/>
      <c r="C94" s="2">
        <v>2022</v>
      </c>
      <c r="D94" s="16">
        <f>5171590+939428</f>
        <v>6111018</v>
      </c>
      <c r="E94" s="16">
        <v>9525000</v>
      </c>
      <c r="F94" s="10">
        <v>1</v>
      </c>
      <c r="G94" s="70">
        <f t="shared" si="3"/>
        <v>0.64157669291338582</v>
      </c>
    </row>
    <row r="95" spans="1:7" x14ac:dyDescent="0.35">
      <c r="A95" s="2">
        <v>93</v>
      </c>
      <c r="B95" s="3" t="s">
        <v>26</v>
      </c>
      <c r="C95" s="5">
        <v>2019</v>
      </c>
      <c r="D95" s="16">
        <v>743600500</v>
      </c>
      <c r="E95" s="16">
        <v>1310000000</v>
      </c>
      <c r="F95" s="10">
        <v>1</v>
      </c>
      <c r="G95" s="70">
        <f t="shared" si="3"/>
        <v>0.56763396946564881</v>
      </c>
    </row>
    <row r="96" spans="1:7" x14ac:dyDescent="0.35">
      <c r="A96" s="2">
        <v>94</v>
      </c>
      <c r="B96" s="4"/>
      <c r="C96" s="2">
        <v>2020</v>
      </c>
      <c r="D96" s="16">
        <v>743600500</v>
      </c>
      <c r="E96" s="16">
        <v>1310000000</v>
      </c>
      <c r="F96" s="10">
        <v>1</v>
      </c>
      <c r="G96" s="70">
        <f t="shared" si="3"/>
        <v>0.56763396946564881</v>
      </c>
    </row>
    <row r="97" spans="1:7" x14ac:dyDescent="0.35">
      <c r="A97" s="2">
        <v>95</v>
      </c>
      <c r="B97" s="4"/>
      <c r="C97" s="2">
        <v>2021</v>
      </c>
      <c r="D97" s="16">
        <v>743600500</v>
      </c>
      <c r="E97" s="16">
        <v>1310000000</v>
      </c>
      <c r="F97" s="10">
        <v>1</v>
      </c>
      <c r="G97" s="70">
        <f t="shared" si="3"/>
        <v>0.56763396946564881</v>
      </c>
    </row>
    <row r="98" spans="1:7" x14ac:dyDescent="0.35">
      <c r="A98" s="2">
        <v>96</v>
      </c>
      <c r="B98" s="4"/>
      <c r="C98" s="2">
        <v>2022</v>
      </c>
      <c r="D98" s="16">
        <v>743600500</v>
      </c>
      <c r="E98" s="16">
        <v>1310000000</v>
      </c>
      <c r="F98" s="10">
        <v>1</v>
      </c>
      <c r="G98" s="70">
        <f t="shared" si="3"/>
        <v>0.56763396946564881</v>
      </c>
    </row>
    <row r="99" spans="1:7" x14ac:dyDescent="0.35">
      <c r="A99" s="2">
        <v>97</v>
      </c>
      <c r="B99" s="3" t="s">
        <v>27</v>
      </c>
      <c r="C99" s="5">
        <v>2019</v>
      </c>
      <c r="D99" s="16">
        <f>1499929596+1452246896</f>
        <v>2952176492</v>
      </c>
      <c r="E99" s="16">
        <v>5342098939</v>
      </c>
      <c r="F99" s="10">
        <v>1</v>
      </c>
      <c r="G99" s="70">
        <f t="shared" si="3"/>
        <v>0.55262482513149125</v>
      </c>
    </row>
    <row r="100" spans="1:7" x14ac:dyDescent="0.35">
      <c r="A100" s="2">
        <v>98</v>
      </c>
      <c r="B100" s="4"/>
      <c r="C100" s="2">
        <v>2020</v>
      </c>
      <c r="D100" s="16">
        <f>1499929596+1452246896</f>
        <v>2952176492</v>
      </c>
      <c r="E100" s="16">
        <v>5342098939</v>
      </c>
      <c r="F100" s="10">
        <v>1</v>
      </c>
      <c r="G100" s="70">
        <f t="shared" si="3"/>
        <v>0.55262482513149125</v>
      </c>
    </row>
    <row r="101" spans="1:7" x14ac:dyDescent="0.35">
      <c r="A101" s="2">
        <v>99</v>
      </c>
      <c r="B101" s="4"/>
      <c r="C101" s="2">
        <v>2021</v>
      </c>
      <c r="D101" s="16">
        <f>1499929596+1452246896</f>
        <v>2952176492</v>
      </c>
      <c r="E101" s="16">
        <v>5342098939</v>
      </c>
      <c r="F101" s="10">
        <v>1</v>
      </c>
      <c r="G101" s="70">
        <f t="shared" si="3"/>
        <v>0.55262482513149125</v>
      </c>
    </row>
    <row r="102" spans="1:7" x14ac:dyDescent="0.35">
      <c r="A102" s="2">
        <v>100</v>
      </c>
      <c r="B102" s="4"/>
      <c r="C102" s="2">
        <v>2022</v>
      </c>
      <c r="D102" s="16">
        <f>1499929596+1603446896</f>
        <v>3103376492</v>
      </c>
      <c r="E102" s="16">
        <v>5342098939</v>
      </c>
      <c r="F102" s="10">
        <v>1</v>
      </c>
      <c r="G102" s="70">
        <f t="shared" si="3"/>
        <v>0.58092830691393527</v>
      </c>
    </row>
    <row r="103" spans="1:7" x14ac:dyDescent="0.35">
      <c r="A103" s="2">
        <v>101</v>
      </c>
      <c r="B103" s="3" t="s">
        <v>28</v>
      </c>
      <c r="C103" s="5">
        <v>2019</v>
      </c>
      <c r="D103" s="16">
        <f>335787550+280747950+232707300+43011700+7000000+4699600</f>
        <v>903954100</v>
      </c>
      <c r="E103" s="16">
        <v>918492750</v>
      </c>
      <c r="F103" s="10">
        <v>1</v>
      </c>
      <c r="G103" s="70">
        <f t="shared" si="3"/>
        <v>0.98417118697997341</v>
      </c>
    </row>
    <row r="104" spans="1:7" x14ac:dyDescent="0.35">
      <c r="A104" s="2">
        <v>102</v>
      </c>
      <c r="B104" s="4"/>
      <c r="C104" s="2">
        <v>2020</v>
      </c>
      <c r="D104" s="16">
        <f>335766850+280747950+232707300+43011700+7000000</f>
        <v>899233800</v>
      </c>
      <c r="E104" s="16">
        <v>918492750</v>
      </c>
      <c r="F104" s="10">
        <v>1</v>
      </c>
      <c r="G104" s="70">
        <f t="shared" si="3"/>
        <v>0.97903200651284406</v>
      </c>
    </row>
    <row r="105" spans="1:7" x14ac:dyDescent="0.35">
      <c r="A105" s="2">
        <v>103</v>
      </c>
      <c r="B105" s="4"/>
      <c r="C105" s="2">
        <v>2021</v>
      </c>
      <c r="D105" s="16">
        <f>335766850+280747950+280747950+43012000+6435700+6408000</f>
        <v>953118450</v>
      </c>
      <c r="E105" s="16">
        <v>918492750</v>
      </c>
      <c r="F105" s="10">
        <v>1</v>
      </c>
      <c r="G105" s="70">
        <f t="shared" si="3"/>
        <v>1.0376983922845335</v>
      </c>
    </row>
    <row r="106" spans="1:7" x14ac:dyDescent="0.35">
      <c r="A106" s="2">
        <v>104</v>
      </c>
      <c r="B106" s="4"/>
      <c r="C106" s="2">
        <v>2022</v>
      </c>
      <c r="D106" s="16">
        <f>335766850+280747950+232707300+43012000+6435700+6408000</f>
        <v>905077800</v>
      </c>
      <c r="E106" s="16">
        <v>918492750</v>
      </c>
      <c r="F106" s="10">
        <v>1</v>
      </c>
      <c r="G106" s="70">
        <f t="shared" si="3"/>
        <v>0.98539460436677373</v>
      </c>
    </row>
    <row r="107" spans="1:7" x14ac:dyDescent="0.35">
      <c r="A107" s="2">
        <v>105</v>
      </c>
      <c r="B107" s="3" t="s">
        <v>29</v>
      </c>
      <c r="C107" s="5">
        <v>2019</v>
      </c>
      <c r="D107" s="16">
        <f>2472304260+1731034000</f>
        <v>4203338260</v>
      </c>
      <c r="E107" s="16">
        <v>11553528000</v>
      </c>
      <c r="F107" s="10">
        <v>1</v>
      </c>
      <c r="G107" s="70">
        <f t="shared" si="3"/>
        <v>0.36381426175623582</v>
      </c>
    </row>
    <row r="108" spans="1:7" x14ac:dyDescent="0.35">
      <c r="A108" s="2">
        <v>106</v>
      </c>
      <c r="B108" s="4"/>
      <c r="C108" s="2">
        <v>2020</v>
      </c>
      <c r="D108" s="16">
        <v>2472304260</v>
      </c>
      <c r="E108" s="16">
        <v>10398175200</v>
      </c>
      <c r="F108" s="10">
        <v>1</v>
      </c>
      <c r="G108" s="70">
        <f t="shared" si="3"/>
        <v>0.23776328177274797</v>
      </c>
    </row>
    <row r="109" spans="1:7" x14ac:dyDescent="0.35">
      <c r="A109" s="2">
        <v>107</v>
      </c>
      <c r="B109" s="4"/>
      <c r="C109" s="2">
        <v>2021</v>
      </c>
      <c r="D109" s="16">
        <v>2472304260</v>
      </c>
      <c r="E109" s="16">
        <v>10398175200</v>
      </c>
      <c r="F109" s="10">
        <v>1</v>
      </c>
      <c r="G109" s="70">
        <f t="shared" si="3"/>
        <v>0.23776328177274797</v>
      </c>
    </row>
    <row r="110" spans="1:7" x14ac:dyDescent="0.35">
      <c r="A110" s="2">
        <v>108</v>
      </c>
      <c r="B110" s="4"/>
      <c r="C110" s="2">
        <v>2022</v>
      </c>
      <c r="D110" s="16">
        <v>2472304260</v>
      </c>
      <c r="E110" s="16">
        <v>10398175200</v>
      </c>
      <c r="F110" s="10">
        <v>1</v>
      </c>
      <c r="G110" s="70">
        <f t="shared" si="3"/>
        <v>0.23776328177274797</v>
      </c>
    </row>
    <row r="111" spans="1:7" x14ac:dyDescent="0.35">
      <c r="A111" s="56">
        <v>109</v>
      </c>
      <c r="B111" s="57" t="s">
        <v>65</v>
      </c>
      <c r="C111" s="58">
        <v>2019</v>
      </c>
      <c r="D111" s="33">
        <f>1333146800+120442700</f>
        <v>1453589500</v>
      </c>
      <c r="E111" s="33">
        <v>1924088000</v>
      </c>
      <c r="F111" s="64">
        <v>1</v>
      </c>
      <c r="G111" s="71">
        <f t="shared" si="3"/>
        <v>0.7554693444374686</v>
      </c>
    </row>
    <row r="112" spans="1:7" x14ac:dyDescent="0.35">
      <c r="A112" s="2">
        <v>110</v>
      </c>
      <c r="B112" s="3"/>
      <c r="C112" s="2">
        <v>2020</v>
      </c>
      <c r="D112" s="16">
        <f>1333146800+120442700</f>
        <v>1453589500</v>
      </c>
      <c r="E112" s="16">
        <v>1924088000</v>
      </c>
      <c r="F112" s="10">
        <v>1</v>
      </c>
      <c r="G112" s="70">
        <f t="shared" si="3"/>
        <v>0.7554693444374686</v>
      </c>
    </row>
    <row r="113" spans="1:7" x14ac:dyDescent="0.35">
      <c r="A113" s="2">
        <v>111</v>
      </c>
      <c r="B113" s="3"/>
      <c r="C113" s="2">
        <v>2021</v>
      </c>
      <c r="D113" s="16">
        <f>1333146800+120442700</f>
        <v>1453589500</v>
      </c>
      <c r="E113" s="16">
        <v>1924088000</v>
      </c>
      <c r="F113" s="10">
        <v>1</v>
      </c>
      <c r="G113" s="70">
        <f t="shared" si="3"/>
        <v>0.7554693444374686</v>
      </c>
    </row>
    <row r="114" spans="1:7" x14ac:dyDescent="0.35">
      <c r="A114" s="2">
        <v>112</v>
      </c>
      <c r="B114" s="3"/>
      <c r="C114" s="2">
        <v>2022</v>
      </c>
      <c r="D114" s="16">
        <f>1333146800+120442700</f>
        <v>1453589500</v>
      </c>
      <c r="E114" s="16">
        <v>1924088000</v>
      </c>
      <c r="F114" s="10">
        <v>1</v>
      </c>
      <c r="G114" s="70">
        <f t="shared" si="3"/>
        <v>0.7554693444374686</v>
      </c>
    </row>
    <row r="115" spans="1:7" x14ac:dyDescent="0.35">
      <c r="A115" s="2">
        <v>113</v>
      </c>
      <c r="B115" s="3" t="s">
        <v>66</v>
      </c>
      <c r="C115" s="5">
        <v>2019</v>
      </c>
      <c r="D115" s="16">
        <f>305746611+196039780+107041400</f>
        <v>608827791</v>
      </c>
      <c r="E115" s="16">
        <v>2099873760</v>
      </c>
      <c r="F115" s="10">
        <v>1</v>
      </c>
      <c r="G115" s="70">
        <f t="shared" si="3"/>
        <v>0.28993542497526137</v>
      </c>
    </row>
    <row r="116" spans="1:7" x14ac:dyDescent="0.35">
      <c r="A116" s="2">
        <v>114</v>
      </c>
      <c r="B116" s="3"/>
      <c r="C116" s="2">
        <v>2020</v>
      </c>
      <c r="D116" s="16">
        <f>305746611+196039780</f>
        <v>501786391</v>
      </c>
      <c r="E116" s="16">
        <v>2099873760</v>
      </c>
      <c r="F116" s="10">
        <v>1</v>
      </c>
      <c r="G116" s="70">
        <f t="shared" si="3"/>
        <v>0.23896026540185922</v>
      </c>
    </row>
    <row r="117" spans="1:7" x14ac:dyDescent="0.35">
      <c r="A117" s="2">
        <v>115</v>
      </c>
      <c r="B117" s="3"/>
      <c r="C117" s="2">
        <v>2021</v>
      </c>
      <c r="D117" s="16">
        <v>196039780</v>
      </c>
      <c r="E117" s="16">
        <v>2099873760</v>
      </c>
      <c r="F117" s="10">
        <v>1</v>
      </c>
      <c r="G117" s="70">
        <f t="shared" si="3"/>
        <v>9.3357888333249137E-2</v>
      </c>
    </row>
    <row r="118" spans="1:7" x14ac:dyDescent="0.35">
      <c r="A118" s="2">
        <v>116</v>
      </c>
      <c r="B118" s="3"/>
      <c r="C118" s="2">
        <v>2022</v>
      </c>
      <c r="D118" s="16">
        <v>196039780</v>
      </c>
      <c r="E118" s="16">
        <v>2071973760</v>
      </c>
      <c r="F118" s="10">
        <v>1</v>
      </c>
      <c r="G118" s="70">
        <f t="shared" si="3"/>
        <v>9.4614991649315097E-2</v>
      </c>
    </row>
    <row r="119" spans="1:7" x14ac:dyDescent="0.35">
      <c r="A119" s="2">
        <v>117</v>
      </c>
      <c r="B119" s="3" t="s">
        <v>67</v>
      </c>
      <c r="C119" s="5">
        <v>2019</v>
      </c>
      <c r="D119" s="16">
        <v>107594221125</v>
      </c>
      <c r="E119" s="16">
        <v>116318076900</v>
      </c>
      <c r="F119" s="10">
        <v>1</v>
      </c>
      <c r="G119" s="70">
        <f t="shared" si="3"/>
        <v>0.92499999993552162</v>
      </c>
    </row>
    <row r="120" spans="1:7" x14ac:dyDescent="0.35">
      <c r="A120" s="2">
        <v>118</v>
      </c>
      <c r="B120" s="3"/>
      <c r="C120" s="2">
        <v>2020</v>
      </c>
      <c r="D120" s="16">
        <v>107594221125</v>
      </c>
      <c r="E120" s="16">
        <v>116318076900</v>
      </c>
      <c r="F120" s="10">
        <v>1</v>
      </c>
      <c r="G120" s="70">
        <f t="shared" si="3"/>
        <v>0.92499999993552162</v>
      </c>
    </row>
    <row r="121" spans="1:7" x14ac:dyDescent="0.35">
      <c r="A121" s="2">
        <v>119</v>
      </c>
      <c r="B121" s="3"/>
      <c r="C121" s="2">
        <v>2021</v>
      </c>
      <c r="D121" s="16">
        <v>107594221125</v>
      </c>
      <c r="E121" s="16">
        <v>116318076900</v>
      </c>
      <c r="F121" s="10">
        <v>1</v>
      </c>
      <c r="G121" s="70">
        <f t="shared" si="3"/>
        <v>0.92499999993552162</v>
      </c>
    </row>
    <row r="122" spans="1:7" x14ac:dyDescent="0.35">
      <c r="A122" s="2">
        <v>120</v>
      </c>
      <c r="B122" s="3"/>
      <c r="C122" s="2">
        <v>2022</v>
      </c>
      <c r="D122" s="16">
        <v>107594221125</v>
      </c>
      <c r="E122" s="16">
        <v>116318076900</v>
      </c>
      <c r="F122" s="10">
        <v>1</v>
      </c>
      <c r="G122" s="70">
        <f t="shared" si="3"/>
        <v>0.92499999993552162</v>
      </c>
    </row>
    <row r="123" spans="1:7" x14ac:dyDescent="0.35">
      <c r="A123" s="2">
        <v>121</v>
      </c>
      <c r="B123" s="3" t="s">
        <v>68</v>
      </c>
      <c r="C123" s="5">
        <v>2019</v>
      </c>
      <c r="D123" s="16">
        <v>6484877500</v>
      </c>
      <c r="E123" s="16">
        <v>7630000000</v>
      </c>
      <c r="F123" s="10">
        <v>1</v>
      </c>
      <c r="G123" s="70">
        <f t="shared" si="3"/>
        <v>0.84991841415465263</v>
      </c>
    </row>
    <row r="124" spans="1:7" x14ac:dyDescent="0.35">
      <c r="A124" s="2">
        <v>122</v>
      </c>
      <c r="B124" s="3"/>
      <c r="C124" s="2">
        <v>2020</v>
      </c>
      <c r="D124" s="16">
        <v>32424387500</v>
      </c>
      <c r="E124" s="16">
        <v>38150000000</v>
      </c>
      <c r="F124" s="10">
        <v>1</v>
      </c>
      <c r="G124" s="70">
        <f t="shared" si="3"/>
        <v>0.84991841415465263</v>
      </c>
    </row>
    <row r="125" spans="1:7" x14ac:dyDescent="0.35">
      <c r="A125" s="2">
        <v>123</v>
      </c>
      <c r="B125" s="3"/>
      <c r="C125" s="2">
        <v>2021</v>
      </c>
      <c r="D125" s="16">
        <v>32424387500</v>
      </c>
      <c r="E125" s="16">
        <v>38150000000</v>
      </c>
      <c r="F125" s="10">
        <v>1</v>
      </c>
      <c r="G125" s="70">
        <f t="shared" si="3"/>
        <v>0.84991841415465263</v>
      </c>
    </row>
    <row r="126" spans="1:7" x14ac:dyDescent="0.35">
      <c r="A126" s="2">
        <v>124</v>
      </c>
      <c r="B126" s="3"/>
      <c r="C126" s="2">
        <v>2022</v>
      </c>
      <c r="D126" s="16">
        <v>32424387500</v>
      </c>
      <c r="E126" s="16">
        <v>38150000000</v>
      </c>
      <c r="F126" s="10">
        <v>1</v>
      </c>
      <c r="G126" s="70">
        <f t="shared" si="3"/>
        <v>0.84991841415465263</v>
      </c>
    </row>
    <row r="127" spans="1:7" x14ac:dyDescent="0.35">
      <c r="A127" s="2">
        <v>125</v>
      </c>
      <c r="B127" s="4" t="s">
        <v>69</v>
      </c>
      <c r="C127" s="5">
        <v>2019</v>
      </c>
      <c r="D127" s="16">
        <v>1195885000</v>
      </c>
      <c r="E127" s="16">
        <v>1600000000</v>
      </c>
      <c r="F127" s="10">
        <v>1</v>
      </c>
      <c r="G127" s="70">
        <f t="shared" si="3"/>
        <v>0.747428125</v>
      </c>
    </row>
    <row r="128" spans="1:7" x14ac:dyDescent="0.35">
      <c r="A128" s="2">
        <v>126</v>
      </c>
      <c r="B128" s="4"/>
      <c r="C128" s="2">
        <v>2020</v>
      </c>
      <c r="D128" s="16">
        <v>1195885000</v>
      </c>
      <c r="E128" s="16">
        <v>1600000000</v>
      </c>
      <c r="F128" s="10">
        <v>1</v>
      </c>
      <c r="G128" s="70">
        <f t="shared" si="3"/>
        <v>0.747428125</v>
      </c>
    </row>
    <row r="129" spans="1:7" x14ac:dyDescent="0.35">
      <c r="A129" s="2">
        <v>127</v>
      </c>
      <c r="B129" s="4"/>
      <c r="C129" s="2">
        <v>2021</v>
      </c>
      <c r="D129" s="16">
        <v>1195885000</v>
      </c>
      <c r="E129" s="16">
        <v>1600000000</v>
      </c>
      <c r="F129" s="10">
        <v>1</v>
      </c>
      <c r="G129" s="70">
        <f t="shared" si="3"/>
        <v>0.747428125</v>
      </c>
    </row>
    <row r="130" spans="1:7" x14ac:dyDescent="0.35">
      <c r="A130" s="2">
        <v>128</v>
      </c>
      <c r="B130" s="4"/>
      <c r="C130" s="2">
        <v>2022</v>
      </c>
      <c r="D130" s="16">
        <v>1195885000</v>
      </c>
      <c r="E130" s="16">
        <v>1600000000</v>
      </c>
      <c r="F130" s="10">
        <v>1</v>
      </c>
      <c r="G130" s="70">
        <f t="shared" si="3"/>
        <v>0.747428125</v>
      </c>
    </row>
    <row r="131" spans="1:7" x14ac:dyDescent="0.35">
      <c r="A131" s="2">
        <v>129</v>
      </c>
      <c r="B131" s="4" t="s">
        <v>70</v>
      </c>
      <c r="C131" s="5">
        <v>2019</v>
      </c>
      <c r="D131" s="16">
        <f>4956950000+43050000</f>
        <v>5000000000</v>
      </c>
      <c r="E131" s="16">
        <v>6306250000</v>
      </c>
      <c r="F131" s="10">
        <v>1</v>
      </c>
      <c r="G131" s="70">
        <f t="shared" si="3"/>
        <v>0.79286422200198214</v>
      </c>
    </row>
    <row r="132" spans="1:7" x14ac:dyDescent="0.35">
      <c r="A132" s="2">
        <v>130</v>
      </c>
      <c r="B132" s="4"/>
      <c r="C132" s="2">
        <v>2020</v>
      </c>
      <c r="D132" s="16">
        <v>4532469620</v>
      </c>
      <c r="E132" s="16">
        <v>6306250000</v>
      </c>
      <c r="F132" s="10">
        <v>1</v>
      </c>
      <c r="G132" s="70">
        <f t="shared" ref="G132:G162" si="4">D132/E132*F132</f>
        <v>0.71872659980178399</v>
      </c>
    </row>
    <row r="133" spans="1:7" x14ac:dyDescent="0.35">
      <c r="A133" s="2">
        <v>131</v>
      </c>
      <c r="B133" s="4"/>
      <c r="C133" s="2">
        <v>2021</v>
      </c>
      <c r="D133" s="16">
        <v>4573835000</v>
      </c>
      <c r="E133" s="16">
        <v>6306250000</v>
      </c>
      <c r="F133" s="10">
        <v>1</v>
      </c>
      <c r="G133" s="70">
        <f t="shared" si="4"/>
        <v>0.72528602576808721</v>
      </c>
    </row>
    <row r="134" spans="1:7" x14ac:dyDescent="0.35">
      <c r="A134" s="2">
        <v>132</v>
      </c>
      <c r="B134" s="4"/>
      <c r="C134" s="2">
        <v>2022</v>
      </c>
      <c r="D134" s="16">
        <v>4573835000</v>
      </c>
      <c r="E134" s="16">
        <v>6362350800</v>
      </c>
      <c r="F134" s="10">
        <v>1</v>
      </c>
      <c r="G134" s="70">
        <f t="shared" si="4"/>
        <v>0.7188907282509478</v>
      </c>
    </row>
    <row r="135" spans="1:7" x14ac:dyDescent="0.35">
      <c r="A135" s="2">
        <v>133</v>
      </c>
      <c r="B135" s="4" t="s">
        <v>71</v>
      </c>
      <c r="C135" s="5">
        <v>2019</v>
      </c>
      <c r="D135" s="16">
        <v>1031800912</v>
      </c>
      <c r="E135" s="16">
        <v>1118755400</v>
      </c>
      <c r="F135" s="10">
        <v>1</v>
      </c>
      <c r="G135" s="70">
        <f t="shared" si="4"/>
        <v>0.92227569314972691</v>
      </c>
    </row>
    <row r="136" spans="1:7" x14ac:dyDescent="0.35">
      <c r="A136" s="2">
        <v>134</v>
      </c>
      <c r="B136" s="4"/>
      <c r="C136" s="2">
        <v>2020</v>
      </c>
      <c r="D136" s="16">
        <v>1031800912</v>
      </c>
      <c r="E136" s="16">
        <v>1120000000</v>
      </c>
      <c r="F136" s="10">
        <v>1</v>
      </c>
      <c r="G136" s="70">
        <f t="shared" si="4"/>
        <v>0.92125081428571431</v>
      </c>
    </row>
    <row r="137" spans="1:7" x14ac:dyDescent="0.35">
      <c r="A137" s="2">
        <v>135</v>
      </c>
      <c r="B137" s="4"/>
      <c r="C137" s="2">
        <v>2021</v>
      </c>
      <c r="D137" s="16">
        <v>1031800912</v>
      </c>
      <c r="E137" s="16">
        <v>1120000000</v>
      </c>
      <c r="F137" s="10">
        <v>1</v>
      </c>
      <c r="G137" s="70">
        <f t="shared" si="4"/>
        <v>0.92125081428571431</v>
      </c>
    </row>
    <row r="138" spans="1:7" x14ac:dyDescent="0.35">
      <c r="A138" s="2">
        <v>136</v>
      </c>
      <c r="B138" s="4"/>
      <c r="C138" s="2">
        <v>2022</v>
      </c>
      <c r="D138" s="16">
        <v>1031800912</v>
      </c>
      <c r="E138" s="16">
        <v>1120000000</v>
      </c>
      <c r="F138" s="10">
        <v>1</v>
      </c>
      <c r="G138" s="70">
        <f t="shared" si="4"/>
        <v>0.92125081428571431</v>
      </c>
    </row>
    <row r="139" spans="1:7" x14ac:dyDescent="0.35">
      <c r="A139" s="2">
        <v>137</v>
      </c>
      <c r="B139" s="4" t="s">
        <v>72</v>
      </c>
      <c r="C139" s="5">
        <v>2019</v>
      </c>
      <c r="D139" s="16">
        <v>26702830685</v>
      </c>
      <c r="E139" s="16">
        <v>46875122110</v>
      </c>
      <c r="F139" s="10">
        <v>1</v>
      </c>
      <c r="G139" s="70">
        <f t="shared" si="4"/>
        <v>0.56965890397762631</v>
      </c>
    </row>
    <row r="140" spans="1:7" x14ac:dyDescent="0.35">
      <c r="A140" s="2">
        <v>138</v>
      </c>
      <c r="B140" s="4"/>
      <c r="C140" s="2">
        <v>2020</v>
      </c>
      <c r="D140" s="16">
        <v>26751692485</v>
      </c>
      <c r="E140" s="16">
        <v>46872947110</v>
      </c>
      <c r="F140" s="10">
        <v>1</v>
      </c>
      <c r="G140" s="70">
        <f t="shared" si="4"/>
        <v>0.57072776802832448</v>
      </c>
    </row>
    <row r="141" spans="1:7" x14ac:dyDescent="0.35">
      <c r="A141" s="2">
        <v>139</v>
      </c>
      <c r="B141" s="4"/>
      <c r="C141" s="2">
        <v>2021</v>
      </c>
      <c r="D141" s="16">
        <v>27148327585</v>
      </c>
      <c r="E141" s="16">
        <v>46872947110</v>
      </c>
      <c r="F141" s="10">
        <v>1</v>
      </c>
      <c r="G141" s="70">
        <f t="shared" si="4"/>
        <v>0.57918968741797128</v>
      </c>
    </row>
    <row r="142" spans="1:7" x14ac:dyDescent="0.35">
      <c r="A142" s="2">
        <v>140</v>
      </c>
      <c r="B142" s="4"/>
      <c r="C142" s="2">
        <v>2022</v>
      </c>
      <c r="D142" s="16">
        <v>27182158685</v>
      </c>
      <c r="E142" s="16">
        <v>46255641410</v>
      </c>
      <c r="F142" s="10">
        <v>1</v>
      </c>
      <c r="G142" s="70">
        <f t="shared" si="4"/>
        <v>0.58765067041365238</v>
      </c>
    </row>
    <row r="143" spans="1:7" x14ac:dyDescent="0.35">
      <c r="A143" s="2">
        <v>141</v>
      </c>
      <c r="B143" s="4" t="s">
        <v>73</v>
      </c>
      <c r="C143" s="5">
        <v>2019</v>
      </c>
      <c r="D143" s="16">
        <v>388194920</v>
      </c>
      <c r="E143" s="16">
        <v>448000000</v>
      </c>
      <c r="F143" s="10">
        <v>1</v>
      </c>
      <c r="G143" s="70">
        <f t="shared" si="4"/>
        <v>0.86650651785714283</v>
      </c>
    </row>
    <row r="144" spans="1:7" x14ac:dyDescent="0.35">
      <c r="A144" s="2">
        <v>142</v>
      </c>
      <c r="B144" s="4"/>
      <c r="C144" s="2">
        <v>2020</v>
      </c>
      <c r="D144" s="16">
        <v>388194920</v>
      </c>
      <c r="E144" s="16">
        <v>448000000</v>
      </c>
      <c r="F144" s="10">
        <v>1</v>
      </c>
      <c r="G144" s="70">
        <f t="shared" si="4"/>
        <v>0.86650651785714283</v>
      </c>
    </row>
    <row r="145" spans="1:7" x14ac:dyDescent="0.35">
      <c r="A145" s="2">
        <v>143</v>
      </c>
      <c r="B145" s="4"/>
      <c r="C145" s="2">
        <v>2021</v>
      </c>
      <c r="D145" s="16">
        <v>388194920</v>
      </c>
      <c r="E145" s="16">
        <v>448000000</v>
      </c>
      <c r="F145" s="10">
        <v>1</v>
      </c>
      <c r="G145" s="70">
        <f t="shared" si="4"/>
        <v>0.86650651785714283</v>
      </c>
    </row>
    <row r="146" spans="1:7" x14ac:dyDescent="0.35">
      <c r="A146" s="2">
        <v>144</v>
      </c>
      <c r="B146" s="4"/>
      <c r="C146" s="2">
        <v>2022</v>
      </c>
      <c r="D146" s="16">
        <v>388194920</v>
      </c>
      <c r="E146" s="16">
        <v>448000000</v>
      </c>
      <c r="F146" s="10">
        <v>1</v>
      </c>
      <c r="G146" s="70">
        <f t="shared" si="4"/>
        <v>0.86650651785714283</v>
      </c>
    </row>
    <row r="147" spans="1:7" x14ac:dyDescent="0.35">
      <c r="A147" s="2">
        <v>145</v>
      </c>
      <c r="B147" s="4" t="s">
        <v>74</v>
      </c>
      <c r="C147" s="5">
        <v>2019</v>
      </c>
      <c r="D147" s="16">
        <v>476901860</v>
      </c>
      <c r="E147" s="16">
        <v>840000000</v>
      </c>
      <c r="F147" s="10">
        <v>1</v>
      </c>
      <c r="G147" s="70">
        <f t="shared" si="4"/>
        <v>0.56774030952380949</v>
      </c>
    </row>
    <row r="148" spans="1:7" x14ac:dyDescent="0.35">
      <c r="A148" s="2">
        <v>146</v>
      </c>
      <c r="B148" s="4"/>
      <c r="C148" s="2">
        <v>2020</v>
      </c>
      <c r="D148" s="16">
        <v>476901860</v>
      </c>
      <c r="E148" s="16">
        <v>840000000</v>
      </c>
      <c r="F148" s="10">
        <v>1</v>
      </c>
      <c r="G148" s="70">
        <f t="shared" si="4"/>
        <v>0.56774030952380949</v>
      </c>
    </row>
    <row r="149" spans="1:7" x14ac:dyDescent="0.35">
      <c r="A149" s="2">
        <v>147</v>
      </c>
      <c r="B149" s="4"/>
      <c r="C149" s="2">
        <v>2021</v>
      </c>
      <c r="D149" s="16">
        <v>476901860</v>
      </c>
      <c r="E149" s="16">
        <v>840000000</v>
      </c>
      <c r="F149" s="10">
        <v>1</v>
      </c>
      <c r="G149" s="70">
        <f t="shared" si="4"/>
        <v>0.56774030952380949</v>
      </c>
    </row>
    <row r="150" spans="1:7" x14ac:dyDescent="0.35">
      <c r="A150" s="2">
        <v>148</v>
      </c>
      <c r="B150" s="4"/>
      <c r="C150" s="2">
        <v>2022</v>
      </c>
      <c r="D150" s="16">
        <v>476901860</v>
      </c>
      <c r="E150" s="16">
        <v>840000000</v>
      </c>
      <c r="F150" s="10">
        <v>1</v>
      </c>
      <c r="G150" s="70">
        <f t="shared" si="4"/>
        <v>0.56774030952380949</v>
      </c>
    </row>
    <row r="151" spans="1:7" x14ac:dyDescent="0.35">
      <c r="A151" s="2">
        <v>149</v>
      </c>
      <c r="B151" s="4" t="s">
        <v>75</v>
      </c>
      <c r="C151" s="5">
        <v>2019</v>
      </c>
      <c r="D151" s="16">
        <v>288119974</v>
      </c>
      <c r="E151" s="16">
        <v>535080000</v>
      </c>
      <c r="F151" s="10">
        <v>1</v>
      </c>
      <c r="G151" s="70">
        <f t="shared" si="4"/>
        <v>0.53846148987067355</v>
      </c>
    </row>
    <row r="152" spans="1:7" x14ac:dyDescent="0.35">
      <c r="A152" s="2">
        <v>150</v>
      </c>
      <c r="B152" s="4"/>
      <c r="C152" s="2">
        <v>2020</v>
      </c>
      <c r="D152" s="16">
        <v>392947014</v>
      </c>
      <c r="E152" s="16">
        <v>535080000</v>
      </c>
      <c r="F152" s="10">
        <v>1</v>
      </c>
      <c r="G152" s="70">
        <f t="shared" si="4"/>
        <v>0.73437058757568963</v>
      </c>
    </row>
    <row r="153" spans="1:7" x14ac:dyDescent="0.35">
      <c r="A153" s="2">
        <v>151</v>
      </c>
      <c r="B153" s="4"/>
      <c r="C153" s="2">
        <v>2021</v>
      </c>
      <c r="D153" s="16">
        <v>394770714</v>
      </c>
      <c r="E153" s="16">
        <v>535080000</v>
      </c>
      <c r="F153" s="10">
        <v>1</v>
      </c>
      <c r="G153" s="70">
        <f t="shared" si="4"/>
        <v>0.73777886297376094</v>
      </c>
    </row>
    <row r="154" spans="1:7" x14ac:dyDescent="0.35">
      <c r="A154" s="2">
        <v>152</v>
      </c>
      <c r="B154" s="4"/>
      <c r="C154" s="2">
        <v>2022</v>
      </c>
      <c r="D154" s="16">
        <v>404379614</v>
      </c>
      <c r="E154" s="16">
        <v>535080000</v>
      </c>
      <c r="F154" s="10">
        <v>1</v>
      </c>
      <c r="G154" s="70">
        <f t="shared" si="4"/>
        <v>0.75573673843163636</v>
      </c>
    </row>
    <row r="155" spans="1:7" x14ac:dyDescent="0.35">
      <c r="A155" s="2">
        <v>153</v>
      </c>
      <c r="B155" s="4" t="s">
        <v>76</v>
      </c>
      <c r="C155" s="5">
        <v>2019</v>
      </c>
      <c r="D155" s="16">
        <v>12150000000</v>
      </c>
      <c r="E155" s="16">
        <v>14884360900</v>
      </c>
      <c r="F155" s="10">
        <v>1</v>
      </c>
      <c r="G155" s="70">
        <f t="shared" si="4"/>
        <v>0.81629302605797471</v>
      </c>
    </row>
    <row r="156" spans="1:7" x14ac:dyDescent="0.35">
      <c r="A156" s="2">
        <v>154</v>
      </c>
      <c r="B156" s="4"/>
      <c r="C156" s="2">
        <v>2020</v>
      </c>
      <c r="D156" s="16">
        <v>24300000000</v>
      </c>
      <c r="E156" s="16">
        <v>29770221800</v>
      </c>
      <c r="F156" s="10">
        <v>1</v>
      </c>
      <c r="G156" s="70">
        <f t="shared" si="4"/>
        <v>0.81625189638325102</v>
      </c>
    </row>
    <row r="157" spans="1:7" x14ac:dyDescent="0.35">
      <c r="A157" s="2">
        <v>155</v>
      </c>
      <c r="B157" s="4"/>
      <c r="C157" s="2">
        <v>2021</v>
      </c>
      <c r="D157" s="16">
        <f>18137404580+6340877862</f>
        <v>24478282442</v>
      </c>
      <c r="E157" s="16">
        <v>29995485529</v>
      </c>
      <c r="F157" s="10">
        <v>1</v>
      </c>
      <c r="G157" s="70">
        <f t="shared" si="4"/>
        <v>0.81606555154221783</v>
      </c>
    </row>
    <row r="158" spans="1:7" x14ac:dyDescent="0.35">
      <c r="A158" s="2">
        <v>156</v>
      </c>
      <c r="B158" s="4"/>
      <c r="C158" s="2">
        <v>2022</v>
      </c>
      <c r="D158" s="16">
        <f>18137404580+5140877862</f>
        <v>23278282442</v>
      </c>
      <c r="E158" s="16">
        <v>30000000000</v>
      </c>
      <c r="F158" s="10">
        <v>1</v>
      </c>
      <c r="G158" s="70">
        <f t="shared" si="4"/>
        <v>0.77594274806666663</v>
      </c>
    </row>
    <row r="159" spans="1:7" x14ac:dyDescent="0.35">
      <c r="A159" s="2">
        <v>157</v>
      </c>
      <c r="B159" s="4" t="s">
        <v>77</v>
      </c>
      <c r="C159" s="5">
        <v>2019</v>
      </c>
      <c r="D159" s="16">
        <v>3619823418</v>
      </c>
      <c r="E159" s="16">
        <f>4500000000+2064000</f>
        <v>4502064000</v>
      </c>
      <c r="F159" s="10">
        <v>1</v>
      </c>
      <c r="G159" s="70">
        <f t="shared" si="4"/>
        <v>0.80403641929568304</v>
      </c>
    </row>
    <row r="160" spans="1:7" x14ac:dyDescent="0.35">
      <c r="A160" s="2">
        <v>158</v>
      </c>
      <c r="B160" s="4"/>
      <c r="C160" s="2">
        <v>2020</v>
      </c>
      <c r="D160" s="16">
        <v>3674161618</v>
      </c>
      <c r="E160" s="16">
        <f>4500000000+1434000</f>
        <v>4501434000</v>
      </c>
      <c r="F160" s="10">
        <v>1</v>
      </c>
      <c r="G160" s="70">
        <f t="shared" si="4"/>
        <v>0.81622025736687465</v>
      </c>
    </row>
    <row r="161" spans="1:7" x14ac:dyDescent="0.35">
      <c r="A161" s="2">
        <v>159</v>
      </c>
      <c r="B161" s="4"/>
      <c r="C161" s="2">
        <v>2021</v>
      </c>
      <c r="D161" s="16">
        <v>3704766118</v>
      </c>
      <c r="E161" s="16">
        <f>4509864300+3288500</f>
        <v>4513152800</v>
      </c>
      <c r="F161" s="10">
        <v>1</v>
      </c>
      <c r="G161" s="70">
        <f t="shared" si="4"/>
        <v>0.82088204901903605</v>
      </c>
    </row>
    <row r="162" spans="1:7" x14ac:dyDescent="0.35">
      <c r="A162" s="2">
        <v>160</v>
      </c>
      <c r="B162" s="4"/>
      <c r="C162" s="2">
        <v>2022</v>
      </c>
      <c r="D162" s="16">
        <v>3773630518</v>
      </c>
      <c r="E162" s="16">
        <f>4509864300+3429800</f>
        <v>4513294100</v>
      </c>
      <c r="F162" s="10">
        <v>1</v>
      </c>
      <c r="G162" s="70">
        <f t="shared" si="4"/>
        <v>0.83611447301872044</v>
      </c>
    </row>
  </sheetData>
  <mergeCells count="4">
    <mergeCell ref="B1:B2"/>
    <mergeCell ref="C1:C2"/>
    <mergeCell ref="D1:G1"/>
    <mergeCell ref="A1:A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A7933-9623-4A96-9DF8-D099E2EC4AF9}">
  <dimension ref="A1:G162"/>
  <sheetViews>
    <sheetView zoomScaleNormal="78" workbookViewId="0">
      <pane ySplit="870" topLeftCell="A3" activePane="bottomLeft"/>
      <selection activeCell="F1" sqref="F1:L1048576"/>
      <selection pane="bottomLeft" activeCell="A13" sqref="A13"/>
    </sheetView>
  </sheetViews>
  <sheetFormatPr defaultRowHeight="14.5" x14ac:dyDescent="0.35"/>
  <cols>
    <col min="1" max="1" width="8.7265625" style="1"/>
    <col min="2" max="2" width="13.26953125" customWidth="1"/>
    <col min="4" max="4" width="22.1796875" style="14" customWidth="1"/>
    <col min="5" max="5" width="20.453125" customWidth="1"/>
    <col min="7" max="7" width="21.90625" customWidth="1"/>
    <col min="8" max="8" width="18.81640625" customWidth="1"/>
  </cols>
  <sheetData>
    <row r="1" spans="1:7" x14ac:dyDescent="0.35">
      <c r="A1" s="95" t="s">
        <v>2</v>
      </c>
      <c r="B1" s="95" t="s">
        <v>0</v>
      </c>
      <c r="C1" s="95" t="s">
        <v>1</v>
      </c>
      <c r="D1" s="96" t="s">
        <v>44</v>
      </c>
      <c r="E1" s="96"/>
    </row>
    <row r="2" spans="1:7" x14ac:dyDescent="0.35">
      <c r="A2" s="95"/>
      <c r="B2" s="95"/>
      <c r="C2" s="95"/>
      <c r="D2" s="23" t="s">
        <v>43</v>
      </c>
      <c r="E2" s="19" t="s">
        <v>31</v>
      </c>
    </row>
    <row r="3" spans="1:7" x14ac:dyDescent="0.35">
      <c r="A3" s="2">
        <v>1</v>
      </c>
      <c r="B3" s="3" t="s">
        <v>3</v>
      </c>
      <c r="C3" s="5">
        <v>2019</v>
      </c>
      <c r="D3" s="16">
        <v>26974124000000</v>
      </c>
      <c r="E3" s="68">
        <f>LN(D3)</f>
        <v>30.925899152031999</v>
      </c>
      <c r="G3" s="14"/>
    </row>
    <row r="4" spans="1:7" x14ac:dyDescent="0.35">
      <c r="A4" s="2">
        <v>2</v>
      </c>
      <c r="B4" s="4"/>
      <c r="C4" s="2">
        <v>2020</v>
      </c>
      <c r="D4" s="16">
        <v>27781231000000</v>
      </c>
      <c r="E4" s="68">
        <f t="shared" ref="E4:E67" si="0">LN(D4)</f>
        <v>30.955381764727981</v>
      </c>
    </row>
    <row r="5" spans="1:7" x14ac:dyDescent="0.35">
      <c r="A5" s="2">
        <v>3</v>
      </c>
      <c r="B5" s="4"/>
      <c r="C5" s="2">
        <v>2021</v>
      </c>
      <c r="D5" s="16">
        <v>30399906000000</v>
      </c>
      <c r="E5" s="68">
        <f t="shared" si="0"/>
        <v>31.045460632230679</v>
      </c>
    </row>
    <row r="6" spans="1:7" x14ac:dyDescent="0.35">
      <c r="A6" s="2">
        <v>4</v>
      </c>
      <c r="B6" s="4"/>
      <c r="C6" s="2">
        <v>2022</v>
      </c>
      <c r="D6" s="16">
        <v>29249340000000</v>
      </c>
      <c r="E6" s="68">
        <f t="shared" si="0"/>
        <v>31.006878125249276</v>
      </c>
    </row>
    <row r="7" spans="1:7" x14ac:dyDescent="0.35">
      <c r="A7" s="2">
        <v>5</v>
      </c>
      <c r="B7" s="3" t="s">
        <v>4</v>
      </c>
      <c r="C7" s="5">
        <v>2019</v>
      </c>
      <c r="D7" s="16">
        <v>881275000000</v>
      </c>
      <c r="E7" s="68">
        <f t="shared" si="0"/>
        <v>27.50463555946483</v>
      </c>
    </row>
    <row r="8" spans="1:7" x14ac:dyDescent="0.35">
      <c r="A8" s="2">
        <v>6</v>
      </c>
      <c r="B8" s="4"/>
      <c r="C8" s="2">
        <v>2020</v>
      </c>
      <c r="D8" s="16">
        <v>958791000000</v>
      </c>
      <c r="E8" s="68">
        <f t="shared" si="0"/>
        <v>27.588938952729169</v>
      </c>
    </row>
    <row r="9" spans="1:7" x14ac:dyDescent="0.35">
      <c r="A9" s="2">
        <v>7</v>
      </c>
      <c r="B9" s="4"/>
      <c r="C9" s="2">
        <v>2021</v>
      </c>
      <c r="D9" s="16">
        <v>1304108000000</v>
      </c>
      <c r="E9" s="68">
        <f t="shared" si="0"/>
        <v>27.896540398089339</v>
      </c>
    </row>
    <row r="10" spans="1:7" x14ac:dyDescent="0.35">
      <c r="A10" s="2">
        <v>8</v>
      </c>
      <c r="B10" s="4"/>
      <c r="C10" s="2">
        <v>2022</v>
      </c>
      <c r="D10" s="16">
        <v>1645582000000</v>
      </c>
      <c r="E10" s="68">
        <f t="shared" si="0"/>
        <v>28.129115236965735</v>
      </c>
    </row>
    <row r="11" spans="1:7" x14ac:dyDescent="0.35">
      <c r="A11" s="2">
        <v>9</v>
      </c>
      <c r="B11" s="3" t="s">
        <v>5</v>
      </c>
      <c r="C11" s="5">
        <v>2019</v>
      </c>
      <c r="D11" s="16">
        <v>2941056000000</v>
      </c>
      <c r="E11" s="68">
        <f t="shared" si="0"/>
        <v>28.709789816461594</v>
      </c>
    </row>
    <row r="12" spans="1:7" x14ac:dyDescent="0.35">
      <c r="A12" s="2">
        <v>10</v>
      </c>
      <c r="B12" s="4"/>
      <c r="C12" s="2">
        <v>2020</v>
      </c>
      <c r="D12" s="16">
        <v>2914979000000</v>
      </c>
      <c r="E12" s="68">
        <f t="shared" si="0"/>
        <v>28.700883731588416</v>
      </c>
    </row>
    <row r="13" spans="1:7" x14ac:dyDescent="0.35">
      <c r="A13" s="2">
        <v>11</v>
      </c>
      <c r="B13" s="4"/>
      <c r="C13" s="2">
        <v>2021</v>
      </c>
      <c r="D13" s="16">
        <v>3132202000000</v>
      </c>
      <c r="E13" s="68">
        <f t="shared" si="0"/>
        <v>28.772757387507369</v>
      </c>
    </row>
    <row r="14" spans="1:7" x14ac:dyDescent="0.35">
      <c r="A14" s="2">
        <v>12</v>
      </c>
      <c r="B14" s="4"/>
      <c r="C14" s="2">
        <v>2022</v>
      </c>
      <c r="D14" s="16">
        <v>3410482000000</v>
      </c>
      <c r="E14" s="68">
        <f t="shared" si="0"/>
        <v>28.857874746208754</v>
      </c>
    </row>
    <row r="15" spans="1:7" x14ac:dyDescent="0.35">
      <c r="A15" s="2">
        <v>13</v>
      </c>
      <c r="B15" s="3" t="s">
        <v>6</v>
      </c>
      <c r="C15" s="5">
        <v>2019</v>
      </c>
      <c r="D15" s="16">
        <v>2999767000000</v>
      </c>
      <c r="E15" s="68">
        <f t="shared" si="0"/>
        <v>28.729555734913781</v>
      </c>
    </row>
    <row r="16" spans="1:7" x14ac:dyDescent="0.35">
      <c r="A16" s="2">
        <v>14</v>
      </c>
      <c r="B16" s="4"/>
      <c r="C16" s="2">
        <v>2020</v>
      </c>
      <c r="D16" s="16">
        <v>2963007000000</v>
      </c>
      <c r="E16" s="68">
        <f t="shared" si="0"/>
        <v>28.717225746987655</v>
      </c>
    </row>
    <row r="17" spans="1:5" x14ac:dyDescent="0.35">
      <c r="A17" s="2">
        <v>15</v>
      </c>
      <c r="B17" s="4"/>
      <c r="C17" s="2">
        <v>2021</v>
      </c>
      <c r="D17" s="16">
        <v>2993218000000</v>
      </c>
      <c r="E17" s="68">
        <f t="shared" si="0"/>
        <v>28.72737017876543</v>
      </c>
    </row>
    <row r="18" spans="1:5" x14ac:dyDescent="0.35">
      <c r="A18" s="2">
        <v>16</v>
      </c>
      <c r="B18" s="4"/>
      <c r="C18" s="2">
        <v>2022</v>
      </c>
      <c r="D18" s="16">
        <v>3172651000000</v>
      </c>
      <c r="E18" s="68">
        <f t="shared" si="0"/>
        <v>28.785588631934978</v>
      </c>
    </row>
    <row r="19" spans="1:5" x14ac:dyDescent="0.35">
      <c r="A19" s="2">
        <v>17</v>
      </c>
      <c r="B19" s="3" t="s">
        <v>7</v>
      </c>
      <c r="C19" s="5">
        <v>2019</v>
      </c>
      <c r="D19" s="16">
        <v>1057529235985</v>
      </c>
      <c r="E19" s="68">
        <f t="shared" si="0"/>
        <v>27.686956393806206</v>
      </c>
    </row>
    <row r="20" spans="1:5" x14ac:dyDescent="0.35">
      <c r="A20" s="2">
        <v>18</v>
      </c>
      <c r="B20" s="4"/>
      <c r="C20" s="2">
        <v>2020</v>
      </c>
      <c r="D20" s="16">
        <v>1086873666641</v>
      </c>
      <c r="E20" s="68">
        <f t="shared" si="0"/>
        <v>27.714326495271916</v>
      </c>
    </row>
    <row r="21" spans="1:5" x14ac:dyDescent="0.35">
      <c r="A21" s="2">
        <v>19</v>
      </c>
      <c r="B21" s="4"/>
      <c r="C21" s="2">
        <v>2021</v>
      </c>
      <c r="D21" s="16">
        <v>1146235578463</v>
      </c>
      <c r="E21" s="68">
        <f t="shared" si="0"/>
        <v>27.767504278944372</v>
      </c>
    </row>
    <row r="22" spans="1:5" x14ac:dyDescent="0.35">
      <c r="A22" s="2">
        <v>20</v>
      </c>
      <c r="B22" s="4"/>
      <c r="C22" s="2">
        <v>2022</v>
      </c>
      <c r="D22" s="16">
        <v>1074777460412</v>
      </c>
      <c r="E22" s="68">
        <f t="shared" si="0"/>
        <v>27.703134742507675</v>
      </c>
    </row>
    <row r="23" spans="1:5" x14ac:dyDescent="0.35">
      <c r="A23" s="2">
        <v>21</v>
      </c>
      <c r="B23" s="3" t="s">
        <v>8</v>
      </c>
      <c r="C23" s="5">
        <v>2019</v>
      </c>
      <c r="D23" s="16">
        <v>1393079542074</v>
      </c>
      <c r="E23" s="68">
        <f t="shared" si="0"/>
        <v>27.962537910369512</v>
      </c>
    </row>
    <row r="24" spans="1:5" x14ac:dyDescent="0.35">
      <c r="A24" s="2">
        <v>22</v>
      </c>
      <c r="B24" s="4"/>
      <c r="C24" s="2">
        <v>2020</v>
      </c>
      <c r="D24" s="16">
        <v>1566673828068</v>
      </c>
      <c r="E24" s="68">
        <f t="shared" si="0"/>
        <v>28.079975907073237</v>
      </c>
    </row>
    <row r="25" spans="1:5" x14ac:dyDescent="0.35">
      <c r="A25" s="2">
        <v>23</v>
      </c>
      <c r="B25" s="4"/>
      <c r="C25" s="2">
        <v>2021</v>
      </c>
      <c r="D25" s="16">
        <v>1697387196209</v>
      </c>
      <c r="E25" s="68">
        <f t="shared" si="0"/>
        <v>28.160111241275146</v>
      </c>
    </row>
    <row r="26" spans="1:5" x14ac:dyDescent="0.35">
      <c r="A26" s="2">
        <v>24</v>
      </c>
      <c r="B26" s="4"/>
      <c r="C26" s="2">
        <v>2022</v>
      </c>
      <c r="D26" s="16">
        <v>1718287453575</v>
      </c>
      <c r="E26" s="68">
        <f t="shared" si="0"/>
        <v>28.172349244222566</v>
      </c>
    </row>
    <row r="27" spans="1:5" x14ac:dyDescent="0.35">
      <c r="A27" s="2">
        <v>25</v>
      </c>
      <c r="B27" s="3" t="s">
        <v>9</v>
      </c>
      <c r="C27" s="5">
        <v>2019</v>
      </c>
      <c r="D27" s="16">
        <v>1245144303719</v>
      </c>
      <c r="E27" s="68">
        <f t="shared" si="0"/>
        <v>27.850272545730174</v>
      </c>
    </row>
    <row r="28" spans="1:5" x14ac:dyDescent="0.35">
      <c r="A28" s="2">
        <v>26</v>
      </c>
      <c r="B28" s="4"/>
      <c r="C28" s="2">
        <v>2020</v>
      </c>
      <c r="D28" s="16">
        <v>1310940121622</v>
      </c>
      <c r="E28" s="68">
        <f t="shared" si="0"/>
        <v>27.901765645847046</v>
      </c>
    </row>
    <row r="29" spans="1:5" x14ac:dyDescent="0.35">
      <c r="A29" s="2">
        <v>27</v>
      </c>
      <c r="B29" s="4"/>
      <c r="C29" s="2">
        <v>2021</v>
      </c>
      <c r="D29" s="16">
        <v>1348181576913</v>
      </c>
      <c r="E29" s="68">
        <f t="shared" si="0"/>
        <v>27.929777820321338</v>
      </c>
    </row>
    <row r="30" spans="1:5" x14ac:dyDescent="0.35">
      <c r="A30" s="2">
        <v>28</v>
      </c>
      <c r="B30" s="4"/>
      <c r="C30" s="2">
        <v>2022</v>
      </c>
      <c r="D30" s="16">
        <v>1693523611414</v>
      </c>
      <c r="E30" s="68">
        <f t="shared" si="0"/>
        <v>28.157832451483188</v>
      </c>
    </row>
    <row r="31" spans="1:5" x14ac:dyDescent="0.35">
      <c r="A31" s="2">
        <v>29</v>
      </c>
      <c r="B31" s="3" t="s">
        <v>10</v>
      </c>
      <c r="C31" s="5">
        <v>2019</v>
      </c>
      <c r="D31" s="16">
        <v>6000259000000</v>
      </c>
      <c r="E31" s="68">
        <f t="shared" si="0"/>
        <v>29.422823750891617</v>
      </c>
    </row>
    <row r="32" spans="1:5" x14ac:dyDescent="0.35">
      <c r="A32" s="2">
        <v>30</v>
      </c>
      <c r="B32" s="4"/>
      <c r="C32" s="2">
        <v>2020</v>
      </c>
      <c r="D32" s="16">
        <v>6326293000000</v>
      </c>
      <c r="E32" s="68">
        <f t="shared" si="0"/>
        <v>29.475735556527276</v>
      </c>
    </row>
    <row r="33" spans="1:5" x14ac:dyDescent="0.35">
      <c r="A33" s="2">
        <v>31</v>
      </c>
      <c r="B33" s="4"/>
      <c r="C33" s="2">
        <v>2021</v>
      </c>
      <c r="D33" s="16">
        <v>6444438000000</v>
      </c>
      <c r="E33" s="68">
        <f t="shared" si="0"/>
        <v>29.494238549138249</v>
      </c>
    </row>
    <row r="34" spans="1:5" x14ac:dyDescent="0.35">
      <c r="A34" s="2">
        <v>32</v>
      </c>
      <c r="B34" s="4"/>
      <c r="C34" s="2">
        <v>2022</v>
      </c>
      <c r="D34" s="16">
        <v>6833737000000</v>
      </c>
      <c r="E34" s="68">
        <f t="shared" si="0"/>
        <v>29.552892784830782</v>
      </c>
    </row>
    <row r="35" spans="1:5" x14ac:dyDescent="0.35">
      <c r="A35" s="2">
        <v>33</v>
      </c>
      <c r="B35" s="3" t="s">
        <v>11</v>
      </c>
      <c r="C35" s="5">
        <v>2019</v>
      </c>
      <c r="D35" s="16">
        <v>1425983722000</v>
      </c>
      <c r="E35" s="68">
        <f t="shared" si="0"/>
        <v>27.985883022708233</v>
      </c>
    </row>
    <row r="36" spans="1:5" x14ac:dyDescent="0.35">
      <c r="A36" s="2">
        <v>34</v>
      </c>
      <c r="B36" s="4"/>
      <c r="C36" s="2">
        <v>2020</v>
      </c>
      <c r="D36" s="16">
        <v>1225580913000</v>
      </c>
      <c r="E36" s="68">
        <f t="shared" si="0"/>
        <v>27.834436062214863</v>
      </c>
    </row>
    <row r="37" spans="1:5" x14ac:dyDescent="0.35">
      <c r="A37" s="2">
        <v>35</v>
      </c>
      <c r="B37" s="4"/>
      <c r="C37" s="2">
        <v>2021</v>
      </c>
      <c r="D37" s="16">
        <v>1308722065000</v>
      </c>
      <c r="E37" s="68">
        <f t="shared" si="0"/>
        <v>27.900072254108704</v>
      </c>
    </row>
    <row r="38" spans="1:5" x14ac:dyDescent="0.35">
      <c r="A38" s="2">
        <v>36</v>
      </c>
      <c r="B38" s="4"/>
      <c r="C38" s="2">
        <v>2022</v>
      </c>
      <c r="D38" s="16">
        <v>1307186367000</v>
      </c>
      <c r="E38" s="68">
        <f t="shared" si="0"/>
        <v>27.898898131836198</v>
      </c>
    </row>
    <row r="39" spans="1:5" x14ac:dyDescent="0.35">
      <c r="A39" s="2">
        <v>37</v>
      </c>
      <c r="B39" s="3" t="s">
        <v>12</v>
      </c>
      <c r="C39" s="5">
        <v>2019</v>
      </c>
      <c r="D39" s="16">
        <v>11620821000000</v>
      </c>
      <c r="E39" s="68">
        <f t="shared" si="0"/>
        <v>30.083819518901183</v>
      </c>
    </row>
    <row r="40" spans="1:5" x14ac:dyDescent="0.35">
      <c r="A40" s="2">
        <v>38</v>
      </c>
      <c r="B40" s="4"/>
      <c r="C40" s="2">
        <v>2020</v>
      </c>
      <c r="D40" s="16">
        <v>14151383000000</v>
      </c>
      <c r="E40" s="68">
        <f t="shared" si="0"/>
        <v>30.2808334737576</v>
      </c>
    </row>
    <row r="41" spans="1:5" x14ac:dyDescent="0.35">
      <c r="A41" s="2">
        <v>39</v>
      </c>
      <c r="B41" s="4"/>
      <c r="C41" s="2">
        <v>2021</v>
      </c>
      <c r="D41" s="16">
        <v>13712160000000</v>
      </c>
      <c r="E41" s="68">
        <f t="shared" si="0"/>
        <v>30.249304146327329</v>
      </c>
    </row>
    <row r="42" spans="1:5" x14ac:dyDescent="0.35">
      <c r="A42" s="2">
        <v>40</v>
      </c>
      <c r="B42" s="4"/>
      <c r="C42" s="2">
        <v>2022</v>
      </c>
      <c r="D42" s="16">
        <v>15357229000000</v>
      </c>
      <c r="E42" s="68">
        <f t="shared" si="0"/>
        <v>30.362607423727546</v>
      </c>
    </row>
    <row r="43" spans="1:5" x14ac:dyDescent="0.35">
      <c r="A43" s="2">
        <v>41</v>
      </c>
      <c r="B43" s="3" t="s">
        <v>13</v>
      </c>
      <c r="C43" s="5">
        <v>2019</v>
      </c>
      <c r="D43" s="16">
        <v>5063067672414</v>
      </c>
      <c r="E43" s="68">
        <f t="shared" si="0"/>
        <v>29.252993674897308</v>
      </c>
    </row>
    <row r="44" spans="1:5" x14ac:dyDescent="0.35">
      <c r="A44" s="2">
        <v>42</v>
      </c>
      <c r="B44" s="4"/>
      <c r="C44" s="2">
        <v>2020</v>
      </c>
      <c r="D44" s="16">
        <v>6570969641033</v>
      </c>
      <c r="E44" s="68">
        <f t="shared" si="0"/>
        <v>29.513682523689489</v>
      </c>
    </row>
    <row r="45" spans="1:5" x14ac:dyDescent="0.35">
      <c r="A45" s="2">
        <v>43</v>
      </c>
      <c r="B45" s="4"/>
      <c r="C45" s="2">
        <v>2021</v>
      </c>
      <c r="D45" s="16">
        <v>6766602280143</v>
      </c>
      <c r="E45" s="68">
        <f t="shared" si="0"/>
        <v>29.543020198013107</v>
      </c>
    </row>
    <row r="46" spans="1:5" x14ac:dyDescent="0.35">
      <c r="A46" s="2">
        <v>44</v>
      </c>
      <c r="B46" s="4"/>
      <c r="C46" s="2">
        <v>2022</v>
      </c>
      <c r="D46" s="16">
        <v>7327371934290</v>
      </c>
      <c r="E46" s="68">
        <f t="shared" si="0"/>
        <v>29.622638031970332</v>
      </c>
    </row>
    <row r="47" spans="1:5" x14ac:dyDescent="0.35">
      <c r="A47" s="2">
        <v>45</v>
      </c>
      <c r="B47" s="3" t="s">
        <v>14</v>
      </c>
      <c r="C47" s="5">
        <v>2019</v>
      </c>
      <c r="D47" s="16">
        <v>848676035300</v>
      </c>
      <c r="E47" s="68">
        <f t="shared" si="0"/>
        <v>27.466943366572742</v>
      </c>
    </row>
    <row r="48" spans="1:5" x14ac:dyDescent="0.35">
      <c r="A48" s="2">
        <v>46</v>
      </c>
      <c r="B48" s="4"/>
      <c r="C48" s="2">
        <v>2020</v>
      </c>
      <c r="D48" s="16">
        <v>906924214166</v>
      </c>
      <c r="E48" s="68">
        <f t="shared" si="0"/>
        <v>27.533324726972925</v>
      </c>
    </row>
    <row r="49" spans="1:5" x14ac:dyDescent="0.35">
      <c r="A49" s="2">
        <v>47</v>
      </c>
      <c r="B49" s="4"/>
      <c r="C49" s="2">
        <v>2021</v>
      </c>
      <c r="D49" s="16">
        <v>987563580363</v>
      </c>
      <c r="E49" s="68">
        <f t="shared" si="0"/>
        <v>27.618506716826772</v>
      </c>
    </row>
    <row r="50" spans="1:5" x14ac:dyDescent="0.35">
      <c r="A50" s="2">
        <v>48</v>
      </c>
      <c r="B50" s="4"/>
      <c r="C50" s="2">
        <v>2022</v>
      </c>
      <c r="D50" s="16">
        <v>811603660216</v>
      </c>
      <c r="E50" s="68">
        <f t="shared" si="0"/>
        <v>27.422277954764688</v>
      </c>
    </row>
    <row r="51" spans="1:5" x14ac:dyDescent="0.35">
      <c r="A51" s="2">
        <v>49</v>
      </c>
      <c r="B51" s="3" t="s">
        <v>15</v>
      </c>
      <c r="C51" s="5">
        <v>2019</v>
      </c>
      <c r="D51" s="16">
        <v>38709314000000</v>
      </c>
      <c r="E51" s="68">
        <f t="shared" si="0"/>
        <v>31.28710135884209</v>
      </c>
    </row>
    <row r="52" spans="1:5" x14ac:dyDescent="0.35">
      <c r="A52" s="2">
        <v>50</v>
      </c>
      <c r="B52" s="4"/>
      <c r="C52" s="2">
        <v>2020</v>
      </c>
      <c r="D52" s="16">
        <v>103588325000000</v>
      </c>
      <c r="E52" s="68">
        <f t="shared" si="0"/>
        <v>32.2714457463534</v>
      </c>
    </row>
    <row r="53" spans="1:5" x14ac:dyDescent="0.35">
      <c r="A53" s="2">
        <v>51</v>
      </c>
      <c r="B53" s="4"/>
      <c r="C53" s="2">
        <v>2021</v>
      </c>
      <c r="D53" s="16">
        <v>118015311000000</v>
      </c>
      <c r="E53" s="68">
        <f t="shared" si="0"/>
        <v>32.401835486214146</v>
      </c>
    </row>
    <row r="54" spans="1:5" x14ac:dyDescent="0.35">
      <c r="A54" s="2">
        <v>52</v>
      </c>
      <c r="B54" s="4"/>
      <c r="C54" s="2">
        <v>2022</v>
      </c>
      <c r="D54" s="16">
        <v>115305536000000</v>
      </c>
      <c r="E54" s="68">
        <f t="shared" si="0"/>
        <v>32.378606555927774</v>
      </c>
    </row>
    <row r="55" spans="1:5" x14ac:dyDescent="0.35">
      <c r="A55" s="2">
        <v>53</v>
      </c>
      <c r="B55" s="3" t="s">
        <v>16</v>
      </c>
      <c r="C55" s="5">
        <v>2019</v>
      </c>
      <c r="D55" s="16">
        <v>96198559000000</v>
      </c>
      <c r="E55" s="68">
        <f t="shared" si="0"/>
        <v>32.197435494278039</v>
      </c>
    </row>
    <row r="56" spans="1:5" x14ac:dyDescent="0.35">
      <c r="A56" s="2">
        <v>54</v>
      </c>
      <c r="B56" s="4"/>
      <c r="C56" s="2">
        <v>2020</v>
      </c>
      <c r="D56" s="16">
        <v>163136516000000</v>
      </c>
      <c r="E56" s="68">
        <f t="shared" si="0"/>
        <v>32.725608487682294</v>
      </c>
    </row>
    <row r="57" spans="1:5" x14ac:dyDescent="0.35">
      <c r="A57" s="2">
        <v>55</v>
      </c>
      <c r="B57" s="4"/>
      <c r="C57" s="2">
        <v>2021</v>
      </c>
      <c r="D57" s="16">
        <v>179271840000000</v>
      </c>
      <c r="E57" s="68">
        <f t="shared" si="0"/>
        <v>32.819924428990447</v>
      </c>
    </row>
    <row r="58" spans="1:5" x14ac:dyDescent="0.35">
      <c r="A58" s="2">
        <v>56</v>
      </c>
      <c r="B58" s="4"/>
      <c r="C58" s="2">
        <v>2022</v>
      </c>
      <c r="D58" s="16">
        <v>180433300000000</v>
      </c>
      <c r="E58" s="68">
        <f t="shared" si="0"/>
        <v>32.826382296322912</v>
      </c>
    </row>
    <row r="59" spans="1:5" x14ac:dyDescent="0.35">
      <c r="A59" s="2">
        <v>57</v>
      </c>
      <c r="B59" s="3" t="s">
        <v>17</v>
      </c>
      <c r="C59" s="5">
        <v>2019</v>
      </c>
      <c r="D59" s="16">
        <v>26650895000000</v>
      </c>
      <c r="E59" s="68">
        <f t="shared" si="0"/>
        <v>30.913843849466168</v>
      </c>
    </row>
    <row r="60" spans="1:5" x14ac:dyDescent="0.35">
      <c r="A60" s="2">
        <v>58</v>
      </c>
      <c r="B60" s="4"/>
      <c r="C60" s="2">
        <v>2020</v>
      </c>
      <c r="D60" s="16">
        <v>25951760000000</v>
      </c>
      <c r="E60" s="68">
        <f t="shared" si="0"/>
        <v>30.88726054597662</v>
      </c>
    </row>
    <row r="61" spans="1:5" x14ac:dyDescent="0.35">
      <c r="A61" s="2">
        <v>59</v>
      </c>
      <c r="B61" s="4"/>
      <c r="C61" s="2">
        <v>2021</v>
      </c>
      <c r="D61" s="16">
        <v>28589656000000</v>
      </c>
      <c r="E61" s="68">
        <f t="shared" si="0"/>
        <v>30.984066090011297</v>
      </c>
    </row>
    <row r="62" spans="1:5" x14ac:dyDescent="0.35">
      <c r="A62" s="2">
        <v>60</v>
      </c>
      <c r="B62" s="4"/>
      <c r="C62" s="2">
        <v>2022</v>
      </c>
      <c r="D62" s="16">
        <v>32690887000000</v>
      </c>
      <c r="E62" s="68">
        <f t="shared" si="0"/>
        <v>31.118117469976582</v>
      </c>
    </row>
    <row r="63" spans="1:5" x14ac:dyDescent="0.35">
      <c r="A63" s="2">
        <v>61</v>
      </c>
      <c r="B63" s="3" t="s">
        <v>18</v>
      </c>
      <c r="C63" s="5">
        <v>2019</v>
      </c>
      <c r="D63" s="16">
        <v>10225322000000</v>
      </c>
      <c r="E63" s="68">
        <f t="shared" si="0"/>
        <v>29.955888308804113</v>
      </c>
    </row>
    <row r="64" spans="1:5" x14ac:dyDescent="0.35">
      <c r="A64" s="2">
        <v>62</v>
      </c>
      <c r="B64" s="4"/>
      <c r="C64" s="2">
        <v>2020</v>
      </c>
      <c r="D64" s="16">
        <v>10922788000000</v>
      </c>
      <c r="E64" s="68">
        <f t="shared" si="0"/>
        <v>30.021872365014222</v>
      </c>
    </row>
    <row r="65" spans="1:5" x14ac:dyDescent="0.35">
      <c r="A65" s="2">
        <v>63</v>
      </c>
      <c r="B65" s="4"/>
      <c r="C65" s="2">
        <v>2021</v>
      </c>
      <c r="D65" s="16">
        <v>11851269000000</v>
      </c>
      <c r="E65" s="68">
        <f t="shared" si="0"/>
        <v>30.103456066383707</v>
      </c>
    </row>
    <row r="66" spans="1:5" x14ac:dyDescent="0.35">
      <c r="A66" s="2">
        <v>64</v>
      </c>
      <c r="B66" s="4"/>
      <c r="C66" s="2">
        <v>2022</v>
      </c>
      <c r="D66" s="16">
        <v>12417013000000</v>
      </c>
      <c r="E66" s="68">
        <f t="shared" si="0"/>
        <v>30.150088664314463</v>
      </c>
    </row>
    <row r="67" spans="1:5" x14ac:dyDescent="0.35">
      <c r="A67" s="2">
        <v>65</v>
      </c>
      <c r="B67" s="3" t="s">
        <v>19</v>
      </c>
      <c r="C67" s="5">
        <v>2019</v>
      </c>
      <c r="D67" s="16">
        <v>2896950000000</v>
      </c>
      <c r="E67" s="68">
        <f t="shared" si="0"/>
        <v>28.694679575333129</v>
      </c>
    </row>
    <row r="68" spans="1:5" x14ac:dyDescent="0.35">
      <c r="A68" s="2">
        <v>66</v>
      </c>
      <c r="B68" s="4"/>
      <c r="C68" s="2">
        <v>2020</v>
      </c>
      <c r="D68" s="16">
        <v>2907425000000</v>
      </c>
      <c r="E68" s="68">
        <f t="shared" ref="E68:E131" si="1">LN(D68)</f>
        <v>28.698288925649688</v>
      </c>
    </row>
    <row r="69" spans="1:5" x14ac:dyDescent="0.35">
      <c r="A69" s="2">
        <v>67</v>
      </c>
      <c r="B69" s="4"/>
      <c r="C69" s="2">
        <v>2021</v>
      </c>
      <c r="D69" s="16">
        <v>2922017000000</v>
      </c>
      <c r="E69" s="68">
        <f t="shared" si="1"/>
        <v>28.703295247173056</v>
      </c>
    </row>
    <row r="70" spans="1:5" x14ac:dyDescent="0.35">
      <c r="A70" s="2">
        <v>68</v>
      </c>
      <c r="B70" s="4"/>
      <c r="C70" s="2">
        <v>2022</v>
      </c>
      <c r="D70" s="16">
        <v>3374502000000</v>
      </c>
      <c r="E70" s="68">
        <f t="shared" si="1"/>
        <v>28.847268873810094</v>
      </c>
    </row>
    <row r="71" spans="1:5" x14ac:dyDescent="0.35">
      <c r="A71" s="2">
        <v>69</v>
      </c>
      <c r="B71" s="3" t="s">
        <v>20</v>
      </c>
      <c r="C71" s="5">
        <v>2019</v>
      </c>
      <c r="D71" s="16">
        <v>19037918806473</v>
      </c>
      <c r="E71" s="68">
        <f t="shared" si="1"/>
        <v>30.577453832934669</v>
      </c>
    </row>
    <row r="72" spans="1:5" x14ac:dyDescent="0.35">
      <c r="A72" s="2">
        <v>70</v>
      </c>
      <c r="B72" s="4"/>
      <c r="C72" s="2">
        <v>2020</v>
      </c>
      <c r="D72" s="16">
        <v>19777500514550</v>
      </c>
      <c r="E72" s="68">
        <f t="shared" si="1"/>
        <v>30.6155660698589</v>
      </c>
    </row>
    <row r="73" spans="1:5" x14ac:dyDescent="0.35">
      <c r="A73" s="2">
        <v>71</v>
      </c>
      <c r="B73" s="4"/>
      <c r="C73" s="2">
        <v>2021</v>
      </c>
      <c r="D73" s="16">
        <v>19917653265528</v>
      </c>
      <c r="E73" s="68">
        <f t="shared" si="1"/>
        <v>30.622627553189677</v>
      </c>
    </row>
    <row r="74" spans="1:5" x14ac:dyDescent="0.35">
      <c r="A74" s="2">
        <v>72</v>
      </c>
      <c r="B74" s="4"/>
      <c r="C74" s="2">
        <v>2022</v>
      </c>
      <c r="D74" s="16">
        <v>22276160695411</v>
      </c>
      <c r="E74" s="68">
        <f t="shared" si="1"/>
        <v>30.734538195465962</v>
      </c>
    </row>
    <row r="75" spans="1:5" x14ac:dyDescent="0.35">
      <c r="A75" s="2">
        <v>73</v>
      </c>
      <c r="B75" s="3" t="s">
        <v>21</v>
      </c>
      <c r="C75" s="5">
        <v>2019</v>
      </c>
      <c r="D75" s="16">
        <v>4682083844951</v>
      </c>
      <c r="E75" s="68">
        <f t="shared" si="1"/>
        <v>29.174764392771777</v>
      </c>
    </row>
    <row r="76" spans="1:5" x14ac:dyDescent="0.35">
      <c r="A76" s="2">
        <v>74</v>
      </c>
      <c r="B76" s="4"/>
      <c r="C76" s="2">
        <v>2020</v>
      </c>
      <c r="D76" s="16">
        <v>4452166671985</v>
      </c>
      <c r="E76" s="68">
        <f t="shared" si="1"/>
        <v>29.124411986193863</v>
      </c>
    </row>
    <row r="77" spans="1:5" x14ac:dyDescent="0.35">
      <c r="A77" s="2">
        <v>75</v>
      </c>
      <c r="B77" s="4"/>
      <c r="C77" s="2">
        <v>2021</v>
      </c>
      <c r="D77" s="16">
        <v>4191284422677</v>
      </c>
      <c r="E77" s="68">
        <f t="shared" si="1"/>
        <v>29.064028347678988</v>
      </c>
    </row>
    <row r="78" spans="1:5" x14ac:dyDescent="0.35">
      <c r="A78" s="2">
        <v>76</v>
      </c>
      <c r="B78" s="4"/>
      <c r="C78" s="2">
        <v>2022</v>
      </c>
      <c r="D78" s="16">
        <v>4130321616083</v>
      </c>
      <c r="E78" s="68">
        <f t="shared" si="1"/>
        <v>29.049376393013116</v>
      </c>
    </row>
    <row r="79" spans="1:5" x14ac:dyDescent="0.35">
      <c r="A79" s="2">
        <v>77</v>
      </c>
      <c r="B79" s="3" t="s">
        <v>22</v>
      </c>
      <c r="C79" s="5">
        <v>2019</v>
      </c>
      <c r="D79" s="16">
        <v>1820383352811</v>
      </c>
      <c r="E79" s="68">
        <f t="shared" si="1"/>
        <v>28.230068228249788</v>
      </c>
    </row>
    <row r="80" spans="1:5" x14ac:dyDescent="0.35">
      <c r="A80" s="2">
        <v>78</v>
      </c>
      <c r="B80" s="4"/>
      <c r="C80" s="2">
        <v>2020</v>
      </c>
      <c r="D80" s="16">
        <v>1768660546754</v>
      </c>
      <c r="E80" s="68">
        <f t="shared" si="1"/>
        <v>28.201243622785679</v>
      </c>
    </row>
    <row r="81" spans="1:5" x14ac:dyDescent="0.35">
      <c r="A81" s="2">
        <v>79</v>
      </c>
      <c r="B81" s="4"/>
      <c r="C81" s="2">
        <v>2021</v>
      </c>
      <c r="D81" s="16">
        <v>1970428120056</v>
      </c>
      <c r="E81" s="68">
        <f t="shared" si="1"/>
        <v>28.309271954893294</v>
      </c>
    </row>
    <row r="82" spans="1:5" x14ac:dyDescent="0.35">
      <c r="A82" s="2">
        <v>80</v>
      </c>
      <c r="B82" s="4"/>
      <c r="C82" s="2">
        <v>2022</v>
      </c>
      <c r="D82" s="16">
        <v>2042199577083</v>
      </c>
      <c r="E82" s="68">
        <f t="shared" si="1"/>
        <v>28.345048566978903</v>
      </c>
    </row>
    <row r="83" spans="1:5" x14ac:dyDescent="0.35">
      <c r="A83" s="2">
        <v>81</v>
      </c>
      <c r="B83" s="3" t="s">
        <v>23</v>
      </c>
      <c r="C83" s="5">
        <v>2019</v>
      </c>
      <c r="D83" s="16">
        <v>790845543826</v>
      </c>
      <c r="E83" s="68">
        <f t="shared" si="1"/>
        <v>27.396368518676066</v>
      </c>
    </row>
    <row r="84" spans="1:5" x14ac:dyDescent="0.35">
      <c r="A84" s="2">
        <v>82</v>
      </c>
      <c r="B84" s="4"/>
      <c r="C84" s="2">
        <v>2020</v>
      </c>
      <c r="D84" s="16">
        <v>773863042440</v>
      </c>
      <c r="E84" s="68">
        <f t="shared" si="1"/>
        <v>27.374660747127098</v>
      </c>
    </row>
    <row r="85" spans="1:5" x14ac:dyDescent="0.35">
      <c r="A85" s="2">
        <v>83</v>
      </c>
      <c r="B85" s="4"/>
      <c r="C85" s="2">
        <v>2021</v>
      </c>
      <c r="D85" s="16">
        <v>889125250792</v>
      </c>
      <c r="E85" s="68">
        <f t="shared" si="1"/>
        <v>27.513503952066127</v>
      </c>
    </row>
    <row r="86" spans="1:5" x14ac:dyDescent="0.35">
      <c r="A86" s="2">
        <v>84</v>
      </c>
      <c r="B86" s="4"/>
      <c r="C86" s="2">
        <v>2022</v>
      </c>
      <c r="D86" s="16">
        <v>1033289474829</v>
      </c>
      <c r="E86" s="68">
        <f t="shared" si="1"/>
        <v>27.663768494136907</v>
      </c>
    </row>
    <row r="87" spans="1:5" x14ac:dyDescent="0.35">
      <c r="A87" s="2">
        <v>85</v>
      </c>
      <c r="B87" s="3" t="s">
        <v>24</v>
      </c>
      <c r="C87" s="5">
        <v>2019</v>
      </c>
      <c r="D87" s="16">
        <v>27787527000000</v>
      </c>
      <c r="E87" s="68">
        <f t="shared" si="1"/>
        <v>30.955608366878309</v>
      </c>
    </row>
    <row r="88" spans="1:5" x14ac:dyDescent="0.35">
      <c r="A88" s="2">
        <v>86</v>
      </c>
      <c r="B88" s="4"/>
      <c r="C88" s="2">
        <v>2020</v>
      </c>
      <c r="D88" s="16">
        <v>35026171000000</v>
      </c>
      <c r="E88" s="68">
        <f t="shared" si="1"/>
        <v>31.187116640854697</v>
      </c>
    </row>
    <row r="89" spans="1:5" x14ac:dyDescent="0.35">
      <c r="A89" s="2">
        <v>87</v>
      </c>
      <c r="B89" s="4"/>
      <c r="C89" s="2">
        <v>2021</v>
      </c>
      <c r="D89" s="16">
        <v>40345003000000</v>
      </c>
      <c r="E89" s="68">
        <f t="shared" si="1"/>
        <v>31.328488661587674</v>
      </c>
    </row>
    <row r="90" spans="1:5" x14ac:dyDescent="0.35">
      <c r="A90" s="2">
        <v>88</v>
      </c>
      <c r="B90" s="4"/>
      <c r="C90" s="2">
        <v>2022</v>
      </c>
      <c r="D90" s="16">
        <v>42600814000000</v>
      </c>
      <c r="E90" s="68">
        <f t="shared" si="1"/>
        <v>31.382894477002537</v>
      </c>
    </row>
    <row r="91" spans="1:5" x14ac:dyDescent="0.35">
      <c r="A91" s="2">
        <v>89</v>
      </c>
      <c r="B91" s="3" t="s">
        <v>25</v>
      </c>
      <c r="C91" s="5">
        <v>2019</v>
      </c>
      <c r="D91" s="16">
        <v>11845204657000</v>
      </c>
      <c r="E91" s="68">
        <f t="shared" si="1"/>
        <v>30.102944231313209</v>
      </c>
    </row>
    <row r="92" spans="1:5" x14ac:dyDescent="0.35">
      <c r="A92" s="2">
        <v>90</v>
      </c>
      <c r="B92" s="4"/>
      <c r="C92" s="2">
        <v>2020</v>
      </c>
      <c r="D92" s="16">
        <v>12775930059000</v>
      </c>
      <c r="E92" s="68">
        <f t="shared" si="1"/>
        <v>30.17858405242114</v>
      </c>
    </row>
    <row r="93" spans="1:5" x14ac:dyDescent="0.35">
      <c r="A93" s="2">
        <v>91</v>
      </c>
      <c r="B93" s="4"/>
      <c r="C93" s="2">
        <v>2021</v>
      </c>
      <c r="D93" s="16">
        <v>13850610076000</v>
      </c>
      <c r="E93" s="68">
        <f t="shared" si="1"/>
        <v>30.259350396400439</v>
      </c>
    </row>
    <row r="94" spans="1:5" x14ac:dyDescent="0.35">
      <c r="A94" s="2">
        <v>92</v>
      </c>
      <c r="B94" s="4"/>
      <c r="C94" s="2">
        <v>2022</v>
      </c>
      <c r="D94" s="16">
        <v>13969704123000</v>
      </c>
      <c r="E94" s="68">
        <f t="shared" si="1"/>
        <v>30.267912109517155</v>
      </c>
    </row>
    <row r="95" spans="1:5" x14ac:dyDescent="0.35">
      <c r="A95" s="2">
        <v>93</v>
      </c>
      <c r="B95" s="3" t="s">
        <v>26</v>
      </c>
      <c r="C95" s="5">
        <v>2019</v>
      </c>
      <c r="D95" s="16">
        <v>2881563083954</v>
      </c>
      <c r="E95" s="68">
        <f t="shared" si="1"/>
        <v>28.689354000331711</v>
      </c>
    </row>
    <row r="96" spans="1:5" x14ac:dyDescent="0.35">
      <c r="A96" s="2">
        <v>94</v>
      </c>
      <c r="B96" s="4"/>
      <c r="C96" s="2">
        <v>2020</v>
      </c>
      <c r="D96" s="16">
        <v>3448995059882</v>
      </c>
      <c r="E96" s="68">
        <f t="shared" si="1"/>
        <v>28.869104017548796</v>
      </c>
    </row>
    <row r="97" spans="1:5" x14ac:dyDescent="0.35">
      <c r="A97" s="2">
        <v>95</v>
      </c>
      <c r="B97" s="4"/>
      <c r="C97" s="2">
        <v>2021</v>
      </c>
      <c r="D97" s="16">
        <v>3919243683748</v>
      </c>
      <c r="E97" s="68">
        <f t="shared" si="1"/>
        <v>28.996919813296635</v>
      </c>
    </row>
    <row r="98" spans="1:5" x14ac:dyDescent="0.35">
      <c r="A98" s="2">
        <v>96</v>
      </c>
      <c r="B98" s="4"/>
      <c r="C98" s="2">
        <v>2022</v>
      </c>
      <c r="D98" s="16">
        <v>4590737849889</v>
      </c>
      <c r="E98" s="68">
        <f t="shared" si="1"/>
        <v>29.155061878691651</v>
      </c>
    </row>
    <row r="99" spans="1:5" x14ac:dyDescent="0.35">
      <c r="A99" s="2">
        <v>97</v>
      </c>
      <c r="B99" s="3" t="s">
        <v>27</v>
      </c>
      <c r="C99" s="5">
        <v>2019</v>
      </c>
      <c r="D99" s="16">
        <v>17363003000000</v>
      </c>
      <c r="E99" s="68">
        <f t="shared" si="1"/>
        <v>30.485362794071737</v>
      </c>
    </row>
    <row r="100" spans="1:5" x14ac:dyDescent="0.35">
      <c r="A100" s="2">
        <v>98</v>
      </c>
      <c r="B100" s="4"/>
      <c r="C100" s="2">
        <v>2020</v>
      </c>
      <c r="D100" s="16">
        <v>19431293000000</v>
      </c>
      <c r="E100" s="68">
        <f t="shared" si="1"/>
        <v>30.597905923681228</v>
      </c>
    </row>
    <row r="101" spans="1:5" x14ac:dyDescent="0.35">
      <c r="A101" s="2">
        <v>99</v>
      </c>
      <c r="B101" s="4"/>
      <c r="C101" s="2">
        <v>2021</v>
      </c>
      <c r="D101" s="16">
        <v>21084017000000</v>
      </c>
      <c r="E101" s="68">
        <f t="shared" si="1"/>
        <v>30.679536381219798</v>
      </c>
    </row>
    <row r="102" spans="1:5" x14ac:dyDescent="0.35">
      <c r="A102" s="2">
        <v>100</v>
      </c>
      <c r="B102" s="4"/>
      <c r="C102" s="2">
        <v>2022</v>
      </c>
      <c r="D102" s="16">
        <v>23673644000000</v>
      </c>
      <c r="E102" s="68">
        <f t="shared" si="1"/>
        <v>30.795383477753198</v>
      </c>
    </row>
    <row r="103" spans="1:5" x14ac:dyDescent="0.35">
      <c r="A103" s="2">
        <v>101</v>
      </c>
      <c r="B103" s="3" t="s">
        <v>28</v>
      </c>
      <c r="C103" s="5">
        <v>2019</v>
      </c>
      <c r="D103" s="16">
        <v>2995872438975</v>
      </c>
      <c r="E103" s="68">
        <f t="shared" si="1"/>
        <v>28.728256603565942</v>
      </c>
    </row>
    <row r="104" spans="1:5" x14ac:dyDescent="0.35">
      <c r="A104" s="2">
        <v>102</v>
      </c>
      <c r="B104" s="4"/>
      <c r="C104" s="2">
        <v>2020</v>
      </c>
      <c r="D104" s="16">
        <v>3361956197960</v>
      </c>
      <c r="E104" s="68">
        <f t="shared" si="1"/>
        <v>28.843544122263769</v>
      </c>
    </row>
    <row r="105" spans="1:5" x14ac:dyDescent="0.35">
      <c r="A105" s="2">
        <v>103</v>
      </c>
      <c r="B105" s="4"/>
      <c r="C105" s="2">
        <v>2021</v>
      </c>
      <c r="D105" s="16">
        <v>3403961007490</v>
      </c>
      <c r="E105" s="68">
        <f t="shared" si="1"/>
        <v>28.855960871665136</v>
      </c>
    </row>
    <row r="106" spans="1:5" x14ac:dyDescent="0.35">
      <c r="A106" s="2">
        <v>104</v>
      </c>
      <c r="B106" s="4"/>
      <c r="C106" s="2">
        <v>2022</v>
      </c>
      <c r="D106" s="16">
        <v>4181760862637</v>
      </c>
      <c r="E106" s="68">
        <f t="shared" si="1"/>
        <v>29.061753532764616</v>
      </c>
    </row>
    <row r="107" spans="1:5" x14ac:dyDescent="0.35">
      <c r="A107" s="2">
        <v>105</v>
      </c>
      <c r="B107" s="3" t="s">
        <v>29</v>
      </c>
      <c r="C107" s="5">
        <v>2019</v>
      </c>
      <c r="D107" s="16">
        <v>6608422000000</v>
      </c>
      <c r="E107" s="68">
        <f t="shared" si="1"/>
        <v>29.519366012093606</v>
      </c>
    </row>
    <row r="108" spans="1:5" x14ac:dyDescent="0.35">
      <c r="A108" s="2">
        <v>106</v>
      </c>
      <c r="B108" s="4"/>
      <c r="C108" s="2">
        <v>2020</v>
      </c>
      <c r="D108" s="16">
        <v>8754116000000</v>
      </c>
      <c r="E108" s="68">
        <f t="shared" si="1"/>
        <v>29.800545105694674</v>
      </c>
    </row>
    <row r="109" spans="1:5" x14ac:dyDescent="0.35">
      <c r="A109" s="2">
        <v>107</v>
      </c>
      <c r="B109" s="4"/>
      <c r="C109" s="2">
        <v>2021</v>
      </c>
      <c r="D109" s="16">
        <v>7406856000000</v>
      </c>
      <c r="E109" s="68">
        <f t="shared" si="1"/>
        <v>29.633427173701463</v>
      </c>
    </row>
    <row r="110" spans="1:5" x14ac:dyDescent="0.35">
      <c r="A110" s="2">
        <v>108</v>
      </c>
      <c r="B110" s="4"/>
      <c r="C110" s="2">
        <v>2022</v>
      </c>
      <c r="D110" s="16">
        <v>7376375000000</v>
      </c>
      <c r="E110" s="68">
        <f t="shared" si="1"/>
        <v>29.629303441454496</v>
      </c>
    </row>
    <row r="111" spans="1:5" x14ac:dyDescent="0.35">
      <c r="A111" s="56">
        <v>109</v>
      </c>
      <c r="B111" s="57" t="s">
        <v>65</v>
      </c>
      <c r="C111" s="58">
        <v>2019</v>
      </c>
      <c r="D111" s="33">
        <v>78647274000000</v>
      </c>
      <c r="E111" s="69">
        <f t="shared" si="1"/>
        <v>31.995994084946599</v>
      </c>
    </row>
    <row r="112" spans="1:5" x14ac:dyDescent="0.35">
      <c r="A112" s="2">
        <v>110</v>
      </c>
      <c r="B112" s="3"/>
      <c r="C112" s="2">
        <v>2020</v>
      </c>
      <c r="D112" s="16">
        <v>78191409000000</v>
      </c>
      <c r="E112" s="68">
        <f t="shared" si="1"/>
        <v>31.990180898109795</v>
      </c>
    </row>
    <row r="113" spans="1:5" x14ac:dyDescent="0.35">
      <c r="A113" s="2">
        <v>111</v>
      </c>
      <c r="B113" s="3"/>
      <c r="C113" s="2">
        <v>2021</v>
      </c>
      <c r="D113" s="16">
        <v>89964369000000</v>
      </c>
      <c r="E113" s="68">
        <f t="shared" si="1"/>
        <v>32.130434807869719</v>
      </c>
    </row>
    <row r="114" spans="1:5" x14ac:dyDescent="0.35">
      <c r="A114" s="2">
        <v>112</v>
      </c>
      <c r="B114" s="3"/>
      <c r="C114" s="2">
        <v>2022</v>
      </c>
      <c r="D114" s="16">
        <v>88562617000000</v>
      </c>
      <c r="E114" s="68">
        <f t="shared" si="1"/>
        <v>32.114730954479491</v>
      </c>
    </row>
    <row r="115" spans="1:5" x14ac:dyDescent="0.35">
      <c r="A115" s="2">
        <v>113</v>
      </c>
      <c r="B115" s="3" t="s">
        <v>66</v>
      </c>
      <c r="C115" s="5">
        <v>2019</v>
      </c>
      <c r="D115" s="16">
        <v>1299521608556</v>
      </c>
      <c r="E115" s="68">
        <f t="shared" si="1"/>
        <v>27.893017319251385</v>
      </c>
    </row>
    <row r="116" spans="1:5" x14ac:dyDescent="0.35">
      <c r="A116" s="2">
        <v>114</v>
      </c>
      <c r="B116" s="3"/>
      <c r="C116" s="2">
        <v>2020</v>
      </c>
      <c r="D116" s="16">
        <v>1614442007528</v>
      </c>
      <c r="E116" s="68">
        <f t="shared" si="1"/>
        <v>28.110010506727544</v>
      </c>
    </row>
    <row r="117" spans="1:5" x14ac:dyDescent="0.35">
      <c r="A117" s="2">
        <v>115</v>
      </c>
      <c r="B117" s="3"/>
      <c r="C117" s="2">
        <v>2021</v>
      </c>
      <c r="D117" s="16">
        <v>1891169731202</v>
      </c>
      <c r="E117" s="68">
        <f t="shared" si="1"/>
        <v>28.268216658955023</v>
      </c>
    </row>
    <row r="118" spans="1:5" x14ac:dyDescent="0.35">
      <c r="A118" s="2">
        <v>116</v>
      </c>
      <c r="B118" s="3"/>
      <c r="C118" s="2">
        <v>2022</v>
      </c>
      <c r="D118" s="16">
        <v>2168793843296</v>
      </c>
      <c r="E118" s="68">
        <f t="shared" si="1"/>
        <v>28.405192296366234</v>
      </c>
    </row>
    <row r="119" spans="1:5" x14ac:dyDescent="0.35">
      <c r="A119" s="2">
        <v>117</v>
      </c>
      <c r="B119" s="3" t="s">
        <v>67</v>
      </c>
      <c r="C119" s="5">
        <v>2019</v>
      </c>
      <c r="D119" s="16">
        <v>50902806000000</v>
      </c>
      <c r="E119" s="68">
        <f t="shared" si="1"/>
        <v>31.560939165666923</v>
      </c>
    </row>
    <row r="120" spans="1:5" x14ac:dyDescent="0.35">
      <c r="A120" s="2">
        <v>118</v>
      </c>
      <c r="B120" s="3"/>
      <c r="C120" s="2">
        <v>2020</v>
      </c>
      <c r="D120" s="16">
        <v>49674030000000</v>
      </c>
      <c r="E120" s="68">
        <f t="shared" si="1"/>
        <v>31.536503377250764</v>
      </c>
    </row>
    <row r="121" spans="1:5" x14ac:dyDescent="0.35">
      <c r="A121" s="2">
        <v>119</v>
      </c>
      <c r="B121" s="3"/>
      <c r="C121" s="2">
        <v>2021</v>
      </c>
      <c r="D121" s="16">
        <v>53090428000000</v>
      </c>
      <c r="E121" s="68">
        <f t="shared" si="1"/>
        <v>31.603017764273513</v>
      </c>
    </row>
    <row r="122" spans="1:5" x14ac:dyDescent="0.35">
      <c r="A122" s="2">
        <v>120</v>
      </c>
      <c r="B122" s="3"/>
      <c r="C122" s="2">
        <v>2022</v>
      </c>
      <c r="D122" s="16">
        <v>54786992000000</v>
      </c>
      <c r="E122" s="68">
        <f t="shared" si="1"/>
        <v>31.634473909442491</v>
      </c>
    </row>
    <row r="123" spans="1:5" x14ac:dyDescent="0.35">
      <c r="A123" s="2">
        <v>121</v>
      </c>
      <c r="B123" s="3" t="s">
        <v>68</v>
      </c>
      <c r="C123" s="5">
        <v>2019</v>
      </c>
      <c r="D123" s="16">
        <v>20649371000000</v>
      </c>
      <c r="E123" s="68">
        <f t="shared" si="1"/>
        <v>30.658705974823246</v>
      </c>
    </row>
    <row r="124" spans="1:5" x14ac:dyDescent="0.35">
      <c r="A124" s="2">
        <v>122</v>
      </c>
      <c r="B124" s="3"/>
      <c r="C124" s="2">
        <v>2020</v>
      </c>
      <c r="D124" s="16">
        <v>20534632000000</v>
      </c>
      <c r="E124" s="68">
        <f t="shared" si="1"/>
        <v>30.653133942553168</v>
      </c>
    </row>
    <row r="125" spans="1:5" x14ac:dyDescent="0.35">
      <c r="A125" s="2">
        <v>123</v>
      </c>
      <c r="B125" s="3"/>
      <c r="C125" s="2">
        <v>2021</v>
      </c>
      <c r="D125" s="16">
        <v>19068532000000</v>
      </c>
      <c r="E125" s="68">
        <f t="shared" si="1"/>
        <v>30.579060553028768</v>
      </c>
    </row>
    <row r="126" spans="1:5" x14ac:dyDescent="0.35">
      <c r="A126" s="2">
        <v>124</v>
      </c>
      <c r="B126" s="3"/>
      <c r="C126" s="2">
        <v>2022</v>
      </c>
      <c r="D126" s="16">
        <v>18318114000000</v>
      </c>
      <c r="E126" s="68">
        <f t="shared" si="1"/>
        <v>30.538911522276813</v>
      </c>
    </row>
    <row r="127" spans="1:5" x14ac:dyDescent="0.35">
      <c r="A127" s="2">
        <v>125</v>
      </c>
      <c r="B127" s="4" t="s">
        <v>69</v>
      </c>
      <c r="C127" s="5">
        <v>2019</v>
      </c>
      <c r="D127" s="16">
        <v>962025149261</v>
      </c>
      <c r="E127" s="68">
        <f t="shared" si="1"/>
        <v>27.592306429953357</v>
      </c>
    </row>
    <row r="128" spans="1:5" x14ac:dyDescent="0.35">
      <c r="A128" s="2">
        <v>126</v>
      </c>
      <c r="B128" s="4"/>
      <c r="C128" s="2">
        <v>2020</v>
      </c>
      <c r="D128" s="16">
        <v>972015359252</v>
      </c>
      <c r="E128" s="68">
        <f t="shared" si="1"/>
        <v>27.602637442981592</v>
      </c>
    </row>
    <row r="129" spans="1:5" x14ac:dyDescent="0.35">
      <c r="A129" s="2">
        <v>127</v>
      </c>
      <c r="B129" s="4"/>
      <c r="C129" s="2">
        <v>2021</v>
      </c>
      <c r="D129" s="16">
        <v>1066798461757</v>
      </c>
      <c r="E129" s="68">
        <f t="shared" si="1"/>
        <v>27.695683187330658</v>
      </c>
    </row>
    <row r="130" spans="1:5" x14ac:dyDescent="0.35">
      <c r="A130" s="2">
        <v>128</v>
      </c>
      <c r="B130" s="4"/>
      <c r="C130" s="2">
        <v>2022</v>
      </c>
      <c r="D130" s="16">
        <v>1094655889281</v>
      </c>
      <c r="E130" s="68">
        <f t="shared" si="1"/>
        <v>27.72146117344375</v>
      </c>
    </row>
    <row r="131" spans="1:5" x14ac:dyDescent="0.35">
      <c r="A131" s="2">
        <v>129</v>
      </c>
      <c r="B131" s="4" t="s">
        <v>70</v>
      </c>
      <c r="C131" s="5">
        <v>2019</v>
      </c>
      <c r="D131" s="16">
        <v>5515384761490</v>
      </c>
      <c r="E131" s="68">
        <f t="shared" si="1"/>
        <v>29.338562532563103</v>
      </c>
    </row>
    <row r="132" spans="1:5" x14ac:dyDescent="0.35">
      <c r="A132" s="2">
        <v>130</v>
      </c>
      <c r="B132" s="4"/>
      <c r="C132" s="2">
        <v>2020</v>
      </c>
      <c r="D132" s="16">
        <v>5949006786510</v>
      </c>
      <c r="E132" s="68">
        <f t="shared" ref="E132:E162" si="2">LN(D132)</f>
        <v>29.414245394915309</v>
      </c>
    </row>
    <row r="133" spans="1:5" x14ac:dyDescent="0.35">
      <c r="A133" s="2">
        <v>131</v>
      </c>
      <c r="B133" s="4"/>
      <c r="C133" s="2">
        <v>2021</v>
      </c>
      <c r="D133" s="16">
        <v>6801034778630</v>
      </c>
      <c r="E133" s="68">
        <f t="shared" si="2"/>
        <v>29.548095889861365</v>
      </c>
    </row>
    <row r="134" spans="1:5" x14ac:dyDescent="0.35">
      <c r="A134" s="2">
        <v>132</v>
      </c>
      <c r="B134" s="4"/>
      <c r="C134" s="2">
        <v>2022</v>
      </c>
      <c r="D134" s="16">
        <v>6956345266754</v>
      </c>
      <c r="E134" s="68">
        <f t="shared" si="2"/>
        <v>29.570675347007342</v>
      </c>
    </row>
    <row r="135" spans="1:5" x14ac:dyDescent="0.35">
      <c r="A135" s="2">
        <v>133</v>
      </c>
      <c r="B135" s="4" t="s">
        <v>71</v>
      </c>
      <c r="C135" s="5">
        <v>2019</v>
      </c>
      <c r="D135" s="16">
        <v>1829960714000</v>
      </c>
      <c r="E135" s="68">
        <f t="shared" si="2"/>
        <v>28.23531561479188</v>
      </c>
    </row>
    <row r="136" spans="1:5" x14ac:dyDescent="0.35">
      <c r="A136" s="2">
        <v>134</v>
      </c>
      <c r="B136" s="4"/>
      <c r="C136" s="2">
        <v>2020</v>
      </c>
      <c r="D136" s="16">
        <v>1986711872000</v>
      </c>
      <c r="E136" s="68">
        <f t="shared" si="2"/>
        <v>28.317502062441235</v>
      </c>
    </row>
    <row r="137" spans="1:5" x14ac:dyDescent="0.35">
      <c r="A137" s="2">
        <v>135</v>
      </c>
      <c r="B137" s="4"/>
      <c r="C137" s="2">
        <v>2021</v>
      </c>
      <c r="D137" s="16">
        <v>2082911322000</v>
      </c>
      <c r="E137" s="68">
        <f t="shared" si="2"/>
        <v>28.364787705049597</v>
      </c>
    </row>
    <row r="138" spans="1:5" x14ac:dyDescent="0.35">
      <c r="A138" s="2">
        <v>136</v>
      </c>
      <c r="B138" s="4"/>
      <c r="C138" s="2">
        <v>2022</v>
      </c>
      <c r="D138" s="16">
        <v>2009139485000</v>
      </c>
      <c r="E138" s="68">
        <f t="shared" si="2"/>
        <v>28.328727629415898</v>
      </c>
    </row>
    <row r="139" spans="1:5" x14ac:dyDescent="0.35">
      <c r="A139" s="2">
        <v>137</v>
      </c>
      <c r="B139" s="4" t="s">
        <v>72</v>
      </c>
      <c r="C139" s="5">
        <v>2019</v>
      </c>
      <c r="D139" s="16">
        <v>20264726862584</v>
      </c>
      <c r="E139" s="68">
        <f t="shared" si="2"/>
        <v>30.639902897634443</v>
      </c>
    </row>
    <row r="140" spans="1:5" x14ac:dyDescent="0.35">
      <c r="A140" s="2">
        <v>138</v>
      </c>
      <c r="B140" s="4"/>
      <c r="C140" s="2">
        <v>2020</v>
      </c>
      <c r="D140" s="16">
        <v>22564300317374</v>
      </c>
      <c r="E140" s="68">
        <f t="shared" si="2"/>
        <v>30.747390141298187</v>
      </c>
    </row>
    <row r="141" spans="1:5" x14ac:dyDescent="0.35">
      <c r="A141" s="2">
        <v>139</v>
      </c>
      <c r="B141" s="4"/>
      <c r="C141" s="2">
        <v>2021</v>
      </c>
      <c r="D141" s="16">
        <v>25666635156271</v>
      </c>
      <c r="E141" s="68">
        <f t="shared" si="2"/>
        <v>30.876213021435614</v>
      </c>
    </row>
    <row r="142" spans="1:5" x14ac:dyDescent="0.35">
      <c r="A142" s="2">
        <v>140</v>
      </c>
      <c r="B142" s="4"/>
      <c r="C142" s="2">
        <v>2022</v>
      </c>
      <c r="D142" s="16">
        <v>27241313025674</v>
      </c>
      <c r="E142" s="68">
        <f t="shared" si="2"/>
        <v>30.935755798165427</v>
      </c>
    </row>
    <row r="143" spans="1:5" x14ac:dyDescent="0.35">
      <c r="A143" s="2">
        <v>141</v>
      </c>
      <c r="B143" s="4" t="s">
        <v>73</v>
      </c>
      <c r="C143" s="5">
        <v>2019</v>
      </c>
      <c r="D143" s="16">
        <v>901060986000</v>
      </c>
      <c r="E143" s="68">
        <f t="shared" si="2"/>
        <v>27.526838779278513</v>
      </c>
    </row>
    <row r="144" spans="1:5" x14ac:dyDescent="0.35">
      <c r="A144" s="2">
        <v>142</v>
      </c>
      <c r="B144" s="4"/>
      <c r="C144" s="2">
        <v>2020</v>
      </c>
      <c r="D144" s="16">
        <v>929901046000</v>
      </c>
      <c r="E144" s="68">
        <f t="shared" si="2"/>
        <v>27.558344015282064</v>
      </c>
    </row>
    <row r="145" spans="1:5" x14ac:dyDescent="0.35">
      <c r="A145" s="2">
        <v>143</v>
      </c>
      <c r="B145" s="4"/>
      <c r="C145" s="2">
        <v>2021</v>
      </c>
      <c r="D145" s="16">
        <v>1026266866000</v>
      </c>
      <c r="E145" s="68">
        <f t="shared" si="2"/>
        <v>27.656948932169964</v>
      </c>
    </row>
    <row r="146" spans="1:5" x14ac:dyDescent="0.35">
      <c r="A146" s="2">
        <v>144</v>
      </c>
      <c r="B146" s="4"/>
      <c r="C146" s="2">
        <v>2022</v>
      </c>
      <c r="D146" s="16">
        <v>1037647240000</v>
      </c>
      <c r="E146" s="68">
        <f t="shared" si="2"/>
        <v>27.667976997054136</v>
      </c>
    </row>
    <row r="147" spans="1:5" x14ac:dyDescent="0.35">
      <c r="A147" s="2">
        <v>145</v>
      </c>
      <c r="B147" s="4" t="s">
        <v>74</v>
      </c>
      <c r="C147" s="5">
        <v>2019</v>
      </c>
      <c r="D147" s="16">
        <v>2096719180000</v>
      </c>
      <c r="E147" s="68">
        <f t="shared" si="2"/>
        <v>28.371394943764066</v>
      </c>
    </row>
    <row r="148" spans="1:5" x14ac:dyDescent="0.35">
      <c r="A148" s="2">
        <v>146</v>
      </c>
      <c r="B148" s="4"/>
      <c r="C148" s="2">
        <v>2020</v>
      </c>
      <c r="D148" s="16">
        <v>1915989375000</v>
      </c>
      <c r="E148" s="68">
        <f t="shared" si="2"/>
        <v>28.281255250054745</v>
      </c>
    </row>
    <row r="149" spans="1:5" x14ac:dyDescent="0.35">
      <c r="A149" s="2">
        <v>147</v>
      </c>
      <c r="B149" s="4"/>
      <c r="C149" s="2">
        <v>2021</v>
      </c>
      <c r="D149" s="16">
        <v>1838539299000</v>
      </c>
      <c r="E149" s="68">
        <f t="shared" si="2"/>
        <v>28.239992513037201</v>
      </c>
    </row>
    <row r="150" spans="1:5" x14ac:dyDescent="0.35">
      <c r="A150" s="2">
        <v>148</v>
      </c>
      <c r="B150" s="4"/>
      <c r="C150" s="2">
        <v>2022</v>
      </c>
      <c r="D150" s="16">
        <v>1806280965000</v>
      </c>
      <c r="E150" s="68">
        <f t="shared" si="2"/>
        <v>28.222291131912804</v>
      </c>
    </row>
    <row r="151" spans="1:5" x14ac:dyDescent="0.35">
      <c r="A151" s="2">
        <v>149</v>
      </c>
      <c r="B151" s="4" t="s">
        <v>75</v>
      </c>
      <c r="C151" s="5">
        <v>2019</v>
      </c>
      <c r="D151" s="16">
        <v>190786208250</v>
      </c>
      <c r="E151" s="68">
        <f t="shared" si="2"/>
        <v>25.974419309542967</v>
      </c>
    </row>
    <row r="152" spans="1:5" x14ac:dyDescent="0.35">
      <c r="A152" s="2">
        <v>150</v>
      </c>
      <c r="B152" s="4"/>
      <c r="C152" s="2">
        <v>2020</v>
      </c>
      <c r="D152" s="16">
        <v>228575380866</v>
      </c>
      <c r="E152" s="68">
        <f t="shared" si="2"/>
        <v>26.155131887258229</v>
      </c>
    </row>
    <row r="153" spans="1:5" x14ac:dyDescent="0.35">
      <c r="A153" s="2">
        <v>151</v>
      </c>
      <c r="B153" s="4"/>
      <c r="C153" s="2">
        <v>2021</v>
      </c>
      <c r="D153" s="16">
        <v>806221575272</v>
      </c>
      <c r="E153" s="68">
        <f t="shared" si="2"/>
        <v>27.415624448958315</v>
      </c>
    </row>
    <row r="154" spans="1:5" x14ac:dyDescent="0.35">
      <c r="A154" s="2">
        <v>152</v>
      </c>
      <c r="B154" s="4"/>
      <c r="C154" s="2">
        <v>2022</v>
      </c>
      <c r="D154" s="16">
        <v>1520568653644</v>
      </c>
      <c r="E154" s="68">
        <f t="shared" si="2"/>
        <v>28.050105495062923</v>
      </c>
    </row>
    <row r="155" spans="1:5" x14ac:dyDescent="0.35">
      <c r="A155" s="2">
        <v>153</v>
      </c>
      <c r="B155" s="4" t="s">
        <v>76</v>
      </c>
      <c r="C155" s="5">
        <v>2019</v>
      </c>
      <c r="D155" s="16">
        <v>3536898000000</v>
      </c>
      <c r="E155" s="68">
        <f t="shared" si="2"/>
        <v>28.894271187737765</v>
      </c>
    </row>
    <row r="156" spans="1:5" x14ac:dyDescent="0.35">
      <c r="A156" s="2">
        <v>154</v>
      </c>
      <c r="B156" s="4"/>
      <c r="C156" s="2">
        <v>2020</v>
      </c>
      <c r="D156" s="16">
        <v>3849516000000</v>
      </c>
      <c r="E156" s="68">
        <f t="shared" si="2"/>
        <v>28.978968542039823</v>
      </c>
    </row>
    <row r="157" spans="1:5" x14ac:dyDescent="0.35">
      <c r="A157" s="2">
        <v>155</v>
      </c>
      <c r="B157" s="4"/>
      <c r="C157" s="2">
        <v>2021</v>
      </c>
      <c r="D157" s="16">
        <v>4068970000000</v>
      </c>
      <c r="E157" s="68">
        <f t="shared" si="2"/>
        <v>29.034411012102048</v>
      </c>
    </row>
    <row r="158" spans="1:5" x14ac:dyDescent="0.35">
      <c r="A158" s="2">
        <v>156</v>
      </c>
      <c r="B158" s="4"/>
      <c r="C158" s="2">
        <v>2022</v>
      </c>
      <c r="D158" s="16">
        <v>4081442000000</v>
      </c>
      <c r="E158" s="68">
        <f t="shared" si="2"/>
        <v>29.037471473275012</v>
      </c>
    </row>
    <row r="159" spans="1:5" x14ac:dyDescent="0.35">
      <c r="A159" s="2">
        <v>157</v>
      </c>
      <c r="B159" s="4" t="s">
        <v>77</v>
      </c>
      <c r="C159" s="5">
        <v>2019</v>
      </c>
      <c r="D159" s="16">
        <v>8372769580743</v>
      </c>
      <c r="E159" s="68">
        <f t="shared" si="2"/>
        <v>29.756005839453298</v>
      </c>
    </row>
    <row r="160" spans="1:5" x14ac:dyDescent="0.35">
      <c r="A160" s="2">
        <v>158</v>
      </c>
      <c r="B160" s="4"/>
      <c r="C160" s="2">
        <v>2020</v>
      </c>
      <c r="D160" s="16">
        <v>9104657533366</v>
      </c>
      <c r="E160" s="68">
        <f t="shared" si="2"/>
        <v>29.839807215371188</v>
      </c>
    </row>
    <row r="161" spans="1:5" x14ac:dyDescent="0.35">
      <c r="A161" s="2">
        <v>159</v>
      </c>
      <c r="B161" s="4"/>
      <c r="C161" s="2">
        <v>2021</v>
      </c>
      <c r="D161" s="16">
        <v>9644326662784</v>
      </c>
      <c r="E161" s="68">
        <f t="shared" si="2"/>
        <v>29.897390947799913</v>
      </c>
    </row>
    <row r="162" spans="1:5" x14ac:dyDescent="0.35">
      <c r="A162" s="2">
        <v>160</v>
      </c>
      <c r="B162" s="4"/>
      <c r="C162" s="2">
        <v>2022</v>
      </c>
      <c r="D162" s="16">
        <v>11328974079150</v>
      </c>
      <c r="E162" s="68">
        <f t="shared" si="2"/>
        <v>30.058384637808633</v>
      </c>
    </row>
  </sheetData>
  <mergeCells count="4">
    <mergeCell ref="A1:A2"/>
    <mergeCell ref="B1:B2"/>
    <mergeCell ref="C1:C2"/>
    <mergeCell ref="D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</vt:lpstr>
      <vt:lpstr>koefisien hasil regresi</vt:lpstr>
      <vt:lpstr>TRR</vt:lpstr>
      <vt:lpstr>ROA</vt:lpstr>
      <vt:lpstr>KI</vt:lpstr>
      <vt:lpstr>Size Ln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Nisrina Aisyah</dc:creator>
  <cp:lastModifiedBy>Nisrina Aisyah</cp:lastModifiedBy>
  <dcterms:created xsi:type="dcterms:W3CDTF">2024-01-16T07:56:14Z</dcterms:created>
  <dcterms:modified xsi:type="dcterms:W3CDTF">2024-05-22T07:28:20Z</dcterms:modified>
</cp:coreProperties>
</file>